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S:\SELOG\B. CPL - 2024\A. Licitações\PREGÃO\90003-2024 - Serviços de Vigilância\1. Peças\"/>
    </mc:Choice>
  </mc:AlternateContent>
  <xr:revisionPtr revIDLastSave="0" documentId="13_ncr:1_{5702F0CE-C45E-4B70-BDF5-91A38F3BDAC3}" xr6:coauthVersionLast="36" xr6:coauthVersionMax="47" xr10:uidLastSave="{00000000-0000-0000-0000-000000000000}"/>
  <bookViews>
    <workbookView xWindow="-90" yWindow="-90" windowWidth="28980" windowHeight="15780" tabRatio="914" firstSheet="3" activeTab="5" xr2:uid="{00000000-000D-0000-FFFF-FFFF00000000}"/>
  </bookViews>
  <sheets>
    <sheet name="Instruções_de_preenchimento" sheetId="2" state="hidden" r:id="rId1"/>
    <sheet name="Dados da empresa" sheetId="37" r:id="rId2"/>
    <sheet name="Instruções de preenchimento" sheetId="38" r:id="rId3"/>
    <sheet name="PROPOSTA GLOBAL" sheetId="46" r:id="rId4"/>
    <sheet name="Postos PVH 12X36 e 44hs" sheetId="6" r:id="rId5"/>
    <sheet name="Postos JPN 12X36" sheetId="56" r:id="rId6"/>
    <sheet name="Postos GMI-VLA-PBO 12X36" sheetId="57" r:id="rId7"/>
    <sheet name="Uniformes" sheetId="11" state="hidden" r:id="rId8"/>
    <sheet name="área" sheetId="12" state="hidden" r:id="rId9"/>
    <sheet name="Uniforme " sheetId="50" r:id="rId10"/>
    <sheet name="EPIs e materiais" sheetId="51" r:id="rId11"/>
    <sheet name="Equip_limpeza" sheetId="15" state="hidden" r:id="rId12"/>
    <sheet name="Equip_lavador" sheetId="16" state="hidden" r:id="rId13"/>
  </sheets>
  <definedNames>
    <definedName name="_xlnm.Print_Area" localSheetId="1">'Dados da empresa'!$A$1:$F$33</definedName>
    <definedName name="_xlnm.Print_Area" localSheetId="11">Equip_limpeza!$A$1:$U$64</definedName>
    <definedName name="_xlnm.Print_Area" localSheetId="2">'Instruções de preenchimento'!$A$1:$A$10</definedName>
    <definedName name="_xlnm.Print_Area" localSheetId="3">'PROPOSTA GLOBAL'!$A$1:$J$42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3" i="57" l="1"/>
  <c r="K84" i="57"/>
  <c r="K85" i="57"/>
  <c r="K86" i="57"/>
  <c r="K87" i="57"/>
  <c r="I83" i="57"/>
  <c r="I84" i="57"/>
  <c r="I85" i="57"/>
  <c r="I86" i="57"/>
  <c r="I87" i="57"/>
  <c r="K85" i="56"/>
  <c r="K86" i="56"/>
  <c r="K87" i="56"/>
  <c r="K88" i="56"/>
  <c r="K89" i="56"/>
  <c r="I85" i="56"/>
  <c r="I86" i="56"/>
  <c r="I87" i="56"/>
  <c r="I88" i="56"/>
  <c r="I89" i="56"/>
  <c r="M85" i="6"/>
  <c r="M86" i="6"/>
  <c r="M87" i="6"/>
  <c r="M88" i="6"/>
  <c r="M89" i="6"/>
  <c r="K85" i="6"/>
  <c r="K86" i="6"/>
  <c r="K87" i="6"/>
  <c r="K88" i="6"/>
  <c r="K89" i="6"/>
  <c r="I85" i="6"/>
  <c r="I86" i="6"/>
  <c r="I87" i="6"/>
  <c r="I88" i="6"/>
  <c r="I89" i="6"/>
  <c r="H73" i="57" l="1"/>
  <c r="H75" i="56"/>
  <c r="H75" i="6"/>
  <c r="I18" i="6" l="1"/>
  <c r="F4" i="50"/>
  <c r="F5" i="50"/>
  <c r="F6" i="50"/>
  <c r="F7" i="50"/>
  <c r="F8" i="50"/>
  <c r="F9" i="50"/>
  <c r="F10" i="50"/>
  <c r="F3" i="50"/>
  <c r="I18" i="57" l="1"/>
  <c r="I18" i="56"/>
  <c r="H42" i="6" l="1"/>
  <c r="H42" i="56"/>
  <c r="H42" i="57"/>
  <c r="H86" i="6" l="1"/>
  <c r="H87" i="57"/>
  <c r="H86" i="57"/>
  <c r="H85" i="57"/>
  <c r="H84" i="57"/>
  <c r="H83" i="57"/>
  <c r="H89" i="56"/>
  <c r="H88" i="56"/>
  <c r="H87" i="56"/>
  <c r="H86" i="56"/>
  <c r="H85" i="56"/>
  <c r="H88" i="6" l="1"/>
  <c r="H89" i="6"/>
  <c r="H87" i="6"/>
  <c r="H85" i="6"/>
  <c r="G4" i="51" l="1"/>
  <c r="G5" i="51"/>
  <c r="G6" i="51"/>
  <c r="G7" i="51"/>
  <c r="G8" i="51"/>
  <c r="G9" i="51"/>
  <c r="G10" i="51"/>
  <c r="G11" i="51"/>
  <c r="G12" i="51"/>
  <c r="G13" i="51"/>
  <c r="G14" i="51"/>
  <c r="G3" i="51"/>
  <c r="H115" i="57"/>
  <c r="G108" i="57" s="1"/>
  <c r="H108" i="57" s="1"/>
  <c r="H82" i="57"/>
  <c r="K51" i="57"/>
  <c r="I51" i="57"/>
  <c r="H48" i="57"/>
  <c r="H75" i="57" s="1"/>
  <c r="H32" i="57"/>
  <c r="H34" i="57" s="1"/>
  <c r="K24" i="57"/>
  <c r="K23" i="57"/>
  <c r="K52" i="57" s="1"/>
  <c r="I23" i="57"/>
  <c r="I26" i="57" s="1"/>
  <c r="H117" i="56"/>
  <c r="G110" i="56" s="1"/>
  <c r="H110" i="56" s="1"/>
  <c r="H84" i="56"/>
  <c r="K52" i="56"/>
  <c r="I52" i="56"/>
  <c r="H48" i="56"/>
  <c r="H77" i="56" s="1"/>
  <c r="H32" i="56"/>
  <c r="H34" i="56" s="1"/>
  <c r="K24" i="56"/>
  <c r="K23" i="56"/>
  <c r="K51" i="56" s="1"/>
  <c r="I23" i="56"/>
  <c r="I51" i="56" s="1"/>
  <c r="M52" i="6"/>
  <c r="G15" i="51" l="1"/>
  <c r="H77" i="57"/>
  <c r="K57" i="57"/>
  <c r="K67" i="57" s="1"/>
  <c r="K26" i="57"/>
  <c r="I27" i="57"/>
  <c r="I28" i="57" s="1"/>
  <c r="I52" i="57"/>
  <c r="K53" i="56"/>
  <c r="K58" i="56" s="1"/>
  <c r="K69" i="56" s="1"/>
  <c r="H79" i="56"/>
  <c r="I26" i="56"/>
  <c r="I27" i="56" s="1"/>
  <c r="I53" i="56"/>
  <c r="I58" i="56" s="1"/>
  <c r="I69" i="56" s="1"/>
  <c r="K26" i="56"/>
  <c r="I75" i="57" l="1"/>
  <c r="I73" i="57"/>
  <c r="G16" i="51"/>
  <c r="M95" i="6"/>
  <c r="I57" i="57"/>
  <c r="I67" i="57" s="1"/>
  <c r="I97" i="57"/>
  <c r="I72" i="57"/>
  <c r="I32" i="57"/>
  <c r="I78" i="57"/>
  <c r="I35" i="57"/>
  <c r="I120" i="57"/>
  <c r="I74" i="57"/>
  <c r="I60" i="57"/>
  <c r="I61" i="57" s="1"/>
  <c r="I68" i="57" s="1"/>
  <c r="I76" i="57"/>
  <c r="I33" i="57"/>
  <c r="K27" i="57"/>
  <c r="K28" i="57" s="1"/>
  <c r="I28" i="56"/>
  <c r="K27" i="56"/>
  <c r="K28" i="56" s="1"/>
  <c r="K75" i="57" l="1"/>
  <c r="K73" i="57"/>
  <c r="K75" i="56"/>
  <c r="K77" i="56"/>
  <c r="I61" i="56"/>
  <c r="I62" i="56" s="1"/>
  <c r="I70" i="56" s="1"/>
  <c r="I75" i="56"/>
  <c r="I77" i="56"/>
  <c r="K95" i="6"/>
  <c r="I95" i="6"/>
  <c r="K93" i="57"/>
  <c r="K95" i="56"/>
  <c r="I93" i="57"/>
  <c r="I95" i="56"/>
  <c r="K78" i="57"/>
  <c r="K35" i="57"/>
  <c r="K72" i="57"/>
  <c r="K120" i="57"/>
  <c r="K74" i="57"/>
  <c r="K60" i="57"/>
  <c r="K61" i="57" s="1"/>
  <c r="K68" i="57" s="1"/>
  <c r="K76" i="57"/>
  <c r="K33" i="57"/>
  <c r="K97" i="57"/>
  <c r="K32" i="57"/>
  <c r="I82" i="57"/>
  <c r="I34" i="57"/>
  <c r="I77" i="57"/>
  <c r="I78" i="56"/>
  <c r="I74" i="56"/>
  <c r="I80" i="56"/>
  <c r="I84" i="56" s="1"/>
  <c r="I32" i="56"/>
  <c r="I99" i="56"/>
  <c r="I122" i="56"/>
  <c r="I76" i="56"/>
  <c r="I35" i="56"/>
  <c r="I33" i="56"/>
  <c r="K35" i="56"/>
  <c r="K78" i="56"/>
  <c r="K99" i="56"/>
  <c r="K32" i="56"/>
  <c r="K74" i="56"/>
  <c r="K122" i="56"/>
  <c r="K76" i="56"/>
  <c r="K80" i="56"/>
  <c r="K61" i="56"/>
  <c r="K62" i="56" s="1"/>
  <c r="K70" i="56" s="1"/>
  <c r="K33" i="56"/>
  <c r="I34" i="56" l="1"/>
  <c r="I99" i="57"/>
  <c r="I122" i="57"/>
  <c r="I65" i="57"/>
  <c r="I36" i="57"/>
  <c r="I37" i="57" s="1"/>
  <c r="K77" i="57"/>
  <c r="K34" i="57"/>
  <c r="K82" i="57"/>
  <c r="K34" i="56"/>
  <c r="K36" i="56" s="1"/>
  <c r="K37" i="56" s="1"/>
  <c r="I79" i="56"/>
  <c r="K79" i="56"/>
  <c r="K84" i="56"/>
  <c r="I124" i="56" l="1"/>
  <c r="I101" i="56"/>
  <c r="K67" i="56"/>
  <c r="I67" i="56"/>
  <c r="I36" i="56"/>
  <c r="I37" i="56" s="1"/>
  <c r="I45" i="57"/>
  <c r="I41" i="57"/>
  <c r="I46" i="57"/>
  <c r="I44" i="57"/>
  <c r="I40" i="57"/>
  <c r="I42" i="57"/>
  <c r="I47" i="57"/>
  <c r="I43" i="57"/>
  <c r="K99" i="57"/>
  <c r="K122" i="57"/>
  <c r="K65" i="57"/>
  <c r="K36" i="57"/>
  <c r="K37" i="57" s="1"/>
  <c r="K101" i="56"/>
  <c r="K124" i="56"/>
  <c r="K45" i="56"/>
  <c r="K42" i="56"/>
  <c r="K47" i="56"/>
  <c r="K44" i="56"/>
  <c r="K41" i="56"/>
  <c r="K43" i="56"/>
  <c r="K46" i="56"/>
  <c r="K40" i="56"/>
  <c r="I47" i="56" l="1"/>
  <c r="I44" i="56"/>
  <c r="I41" i="56"/>
  <c r="I46" i="56"/>
  <c r="I43" i="56"/>
  <c r="I40" i="56"/>
  <c r="I42" i="56"/>
  <c r="I45" i="56"/>
  <c r="K45" i="57"/>
  <c r="K41" i="57"/>
  <c r="K44" i="57"/>
  <c r="K40" i="57"/>
  <c r="K47" i="57"/>
  <c r="K43" i="57"/>
  <c r="K46" i="57"/>
  <c r="K42" i="57"/>
  <c r="I48" i="57"/>
  <c r="I66" i="57" s="1"/>
  <c r="K48" i="56"/>
  <c r="K68" i="56" s="1"/>
  <c r="K71" i="56" s="1"/>
  <c r="I48" i="56" l="1"/>
  <c r="I68" i="56" s="1"/>
  <c r="I69" i="57"/>
  <c r="I121" i="57" s="1"/>
  <c r="K48" i="57"/>
  <c r="K66" i="57" s="1"/>
  <c r="K123" i="56"/>
  <c r="K100" i="56"/>
  <c r="I98" i="57" l="1"/>
  <c r="I71" i="56"/>
  <c r="K69" i="57"/>
  <c r="K121" i="57" s="1"/>
  <c r="I100" i="56" l="1"/>
  <c r="I123" i="56"/>
  <c r="K90" i="56"/>
  <c r="K98" i="57"/>
  <c r="I88" i="57"/>
  <c r="I100" i="57" l="1"/>
  <c r="I123" i="57"/>
  <c r="K125" i="56"/>
  <c r="K102" i="56"/>
  <c r="K88" i="57"/>
  <c r="I90" i="56" l="1"/>
  <c r="I125" i="56" s="1"/>
  <c r="K123" i="57"/>
  <c r="K100" i="57"/>
  <c r="I102" i="56" l="1"/>
  <c r="K52" i="6"/>
  <c r="I52" i="6"/>
  <c r="K24" i="6" l="1"/>
  <c r="M23" i="6"/>
  <c r="M26" i="6" s="1"/>
  <c r="M27" i="6" l="1"/>
  <c r="M28" i="6" s="1"/>
  <c r="M53" i="6"/>
  <c r="M51" i="6"/>
  <c r="M75" i="6" l="1"/>
  <c r="M61" i="6"/>
  <c r="M62" i="6" s="1"/>
  <c r="M70" i="6" s="1"/>
  <c r="M76" i="6"/>
  <c r="M78" i="6"/>
  <c r="M74" i="6"/>
  <c r="M33" i="6"/>
  <c r="M122" i="6" l="1"/>
  <c r="M99" i="6"/>
  <c r="M80" i="6"/>
  <c r="M35" i="6"/>
  <c r="F11" i="50" l="1"/>
  <c r="F12" i="50" s="1"/>
  <c r="K94" i="56" l="1"/>
  <c r="K97" i="56" s="1"/>
  <c r="I94" i="56"/>
  <c r="I97" i="56" s="1"/>
  <c r="M94" i="6"/>
  <c r="M97" i="6" s="1"/>
  <c r="K92" i="57"/>
  <c r="K95" i="57" s="1"/>
  <c r="I92" i="57"/>
  <c r="I95" i="57" s="1"/>
  <c r="K94" i="6"/>
  <c r="I94" i="6"/>
  <c r="I101" i="57" l="1"/>
  <c r="I102" i="57" s="1"/>
  <c r="I124" i="57"/>
  <c r="I125" i="57" s="1"/>
  <c r="K124" i="57"/>
  <c r="K125" i="57" s="1"/>
  <c r="K101" i="57"/>
  <c r="K102" i="57" s="1"/>
  <c r="M103" i="6"/>
  <c r="M126" i="6"/>
  <c r="I126" i="56"/>
  <c r="I127" i="56" s="1"/>
  <c r="I107" i="56" s="1"/>
  <c r="I103" i="56"/>
  <c r="I104" i="56" s="1"/>
  <c r="K126" i="56"/>
  <c r="K127" i="56" s="1"/>
  <c r="K103" i="56"/>
  <c r="K104" i="56" s="1"/>
  <c r="K23" i="6"/>
  <c r="K51" i="6" s="1"/>
  <c r="I23" i="6"/>
  <c r="I51" i="6" s="1"/>
  <c r="K107" i="56" l="1"/>
  <c r="K108" i="56" s="1"/>
  <c r="I108" i="56"/>
  <c r="I109" i="56" s="1"/>
  <c r="I110" i="56" s="1"/>
  <c r="K105" i="57"/>
  <c r="K106" i="57" s="1"/>
  <c r="I105" i="57"/>
  <c r="I106" i="57" s="1"/>
  <c r="I26" i="6"/>
  <c r="K26" i="6"/>
  <c r="I53" i="6"/>
  <c r="I58" i="6" s="1"/>
  <c r="K53" i="6"/>
  <c r="H117" i="6"/>
  <c r="G110" i="6" s="1"/>
  <c r="H110" i="6" s="1"/>
  <c r="H84" i="6"/>
  <c r="M84" i="6" s="1"/>
  <c r="I107" i="57" l="1"/>
  <c r="I108" i="57" s="1"/>
  <c r="K107" i="57"/>
  <c r="K108" i="57" s="1"/>
  <c r="I113" i="56"/>
  <c r="I112" i="56"/>
  <c r="I116" i="56"/>
  <c r="I115" i="56"/>
  <c r="K109" i="56"/>
  <c r="K110" i="56" s="1"/>
  <c r="I27" i="6"/>
  <c r="I28" i="6" s="1"/>
  <c r="I74" i="6" s="1"/>
  <c r="K27" i="6"/>
  <c r="K28" i="6" s="1"/>
  <c r="T11" i="16"/>
  <c r="T12" i="16" s="1"/>
  <c r="T13" i="16" s="1"/>
  <c r="M10" i="16"/>
  <c r="J10" i="16"/>
  <c r="R9" i="16"/>
  <c r="M8" i="16"/>
  <c r="J8" i="16"/>
  <c r="R7" i="16"/>
  <c r="H5" i="16"/>
  <c r="R5" i="16" s="1"/>
  <c r="H3" i="16"/>
  <c r="R3" i="16" s="1"/>
  <c r="J55" i="15"/>
  <c r="U55" i="15" s="1"/>
  <c r="J53" i="15"/>
  <c r="S53" i="15" s="1"/>
  <c r="J47" i="15"/>
  <c r="J45" i="15"/>
  <c r="S45" i="15" s="1"/>
  <c r="U43" i="15"/>
  <c r="S43" i="15"/>
  <c r="J41" i="15"/>
  <c r="J39" i="15"/>
  <c r="U39" i="15" s="1"/>
  <c r="J37" i="15"/>
  <c r="U37" i="15" s="1"/>
  <c r="J35" i="15"/>
  <c r="S35" i="15" s="1"/>
  <c r="J33" i="15"/>
  <c r="J31" i="15"/>
  <c r="U31" i="15" s="1"/>
  <c r="J29" i="15"/>
  <c r="U29" i="15" s="1"/>
  <c r="J27" i="15"/>
  <c r="S27" i="15" s="1"/>
  <c r="J25" i="15"/>
  <c r="J23" i="15"/>
  <c r="U23" i="15" s="1"/>
  <c r="J21" i="15"/>
  <c r="U21" i="15" s="1"/>
  <c r="J19" i="15"/>
  <c r="S19" i="15" s="1"/>
  <c r="J17" i="15"/>
  <c r="J15" i="15"/>
  <c r="U15" i="15" s="1"/>
  <c r="J13" i="15"/>
  <c r="U13" i="15" s="1"/>
  <c r="J11" i="15"/>
  <c r="S11" i="15" s="1"/>
  <c r="J9" i="15"/>
  <c r="U7" i="15"/>
  <c r="S7" i="15"/>
  <c r="J5" i="15"/>
  <c r="S5" i="15" s="1"/>
  <c r="J3" i="15"/>
  <c r="S3" i="15" s="1"/>
  <c r="L78" i="12"/>
  <c r="I78" i="12"/>
  <c r="F77" i="12"/>
  <c r="G77" i="12" s="1"/>
  <c r="F76" i="12"/>
  <c r="G76" i="12" s="1"/>
  <c r="F75" i="12"/>
  <c r="G75" i="12" s="1"/>
  <c r="F74" i="12"/>
  <c r="G74" i="12" s="1"/>
  <c r="F73" i="12"/>
  <c r="F72" i="12"/>
  <c r="F71" i="12"/>
  <c r="G71" i="12" s="1"/>
  <c r="F70" i="12"/>
  <c r="G70" i="12" s="1"/>
  <c r="D69" i="12"/>
  <c r="F69" i="12" s="1"/>
  <c r="G69" i="12" s="1"/>
  <c r="F68" i="12"/>
  <c r="F67" i="12"/>
  <c r="F66" i="12"/>
  <c r="F65" i="12"/>
  <c r="F64" i="12"/>
  <c r="F63" i="12"/>
  <c r="F62" i="12"/>
  <c r="F61" i="12"/>
  <c r="F60" i="12"/>
  <c r="F59" i="12"/>
  <c r="F58" i="12"/>
  <c r="G58" i="12" s="1"/>
  <c r="F57" i="12"/>
  <c r="F56" i="12"/>
  <c r="F55" i="12"/>
  <c r="F54" i="12"/>
  <c r="F53" i="12"/>
  <c r="F52" i="12"/>
  <c r="F51" i="12"/>
  <c r="F50" i="12"/>
  <c r="D49" i="12"/>
  <c r="F49" i="12" s="1"/>
  <c r="F48" i="12"/>
  <c r="F47" i="12"/>
  <c r="F46" i="12"/>
  <c r="F45" i="12"/>
  <c r="F44" i="12"/>
  <c r="F43" i="12"/>
  <c r="F42" i="12"/>
  <c r="F41" i="12"/>
  <c r="F40" i="12"/>
  <c r="F39" i="12"/>
  <c r="F38" i="12"/>
  <c r="D37" i="12"/>
  <c r="F37" i="12" s="1"/>
  <c r="F36" i="12"/>
  <c r="F35" i="12"/>
  <c r="F34" i="12"/>
  <c r="G34" i="12" s="1"/>
  <c r="F33" i="12"/>
  <c r="G33" i="12" s="1"/>
  <c r="F32" i="12"/>
  <c r="F31" i="12"/>
  <c r="F30" i="12"/>
  <c r="F29" i="12"/>
  <c r="F28" i="12"/>
  <c r="F27" i="12"/>
  <c r="F26" i="12"/>
  <c r="F25" i="12"/>
  <c r="D24" i="12"/>
  <c r="F24" i="12" s="1"/>
  <c r="F23" i="12"/>
  <c r="F22" i="12"/>
  <c r="F21" i="12"/>
  <c r="F20" i="12"/>
  <c r="F19" i="12"/>
  <c r="D18" i="12"/>
  <c r="D16" i="12" s="1"/>
  <c r="F16" i="12" s="1"/>
  <c r="F17" i="12"/>
  <c r="F15" i="12"/>
  <c r="F14" i="12"/>
  <c r="O13" i="12"/>
  <c r="O23" i="12" s="1"/>
  <c r="F13" i="12"/>
  <c r="O12" i="12"/>
  <c r="F12" i="12"/>
  <c r="F11" i="12"/>
  <c r="F10" i="12"/>
  <c r="F9" i="12"/>
  <c r="F8" i="12"/>
  <c r="F7" i="12"/>
  <c r="F6" i="12"/>
  <c r="F5" i="12"/>
  <c r="F4" i="12"/>
  <c r="F3" i="12"/>
  <c r="D2" i="12"/>
  <c r="F2" i="12" s="1"/>
  <c r="H24" i="11"/>
  <c r="H23" i="11"/>
  <c r="H22" i="11"/>
  <c r="H21" i="11"/>
  <c r="H17" i="11"/>
  <c r="H16" i="11"/>
  <c r="H15" i="11"/>
  <c r="H14" i="11"/>
  <c r="H13" i="11"/>
  <c r="H12" i="11"/>
  <c r="H11" i="11"/>
  <c r="H10" i="11"/>
  <c r="H7" i="11"/>
  <c r="H6" i="11"/>
  <c r="H5" i="11"/>
  <c r="H4" i="11"/>
  <c r="H3" i="11"/>
  <c r="H48" i="6"/>
  <c r="H77" i="6" s="1"/>
  <c r="M77" i="6" s="1"/>
  <c r="H32" i="6"/>
  <c r="I61" i="6" l="1"/>
  <c r="I75" i="6"/>
  <c r="I77" i="6"/>
  <c r="K61" i="6"/>
  <c r="K75" i="6"/>
  <c r="K77" i="6"/>
  <c r="G62" i="12"/>
  <c r="K116" i="56"/>
  <c r="K112" i="56"/>
  <c r="K115" i="56"/>
  <c r="K113" i="56"/>
  <c r="I117" i="56"/>
  <c r="I118" i="56" s="1"/>
  <c r="G35" i="12"/>
  <c r="K110" i="57"/>
  <c r="K114" i="57"/>
  <c r="K111" i="57"/>
  <c r="K113" i="57"/>
  <c r="I110" i="57"/>
  <c r="I114" i="57"/>
  <c r="I113" i="57"/>
  <c r="I111" i="57"/>
  <c r="I78" i="6"/>
  <c r="I76" i="6"/>
  <c r="I69" i="6"/>
  <c r="H34" i="6"/>
  <c r="M32" i="6"/>
  <c r="M34" i="6" s="1"/>
  <c r="K78" i="6"/>
  <c r="K76" i="6"/>
  <c r="M58" i="6"/>
  <c r="M69" i="6" s="1"/>
  <c r="G14" i="12"/>
  <c r="G49" i="12"/>
  <c r="H49" i="12" s="1"/>
  <c r="G51" i="12"/>
  <c r="O24" i="12"/>
  <c r="G28" i="12"/>
  <c r="H76" i="12"/>
  <c r="G19" i="12"/>
  <c r="G41" i="12"/>
  <c r="H25" i="11"/>
  <c r="H26" i="11" s="1"/>
  <c r="H33" i="12"/>
  <c r="G16" i="12"/>
  <c r="G47" i="12"/>
  <c r="G72" i="12"/>
  <c r="H69" i="12" s="1"/>
  <c r="U9" i="15"/>
  <c r="S9" i="15"/>
  <c r="U17" i="15"/>
  <c r="S17" i="15"/>
  <c r="U25" i="15"/>
  <c r="S25" i="15"/>
  <c r="U33" i="15"/>
  <c r="S33" i="15"/>
  <c r="U41" i="15"/>
  <c r="S41" i="15"/>
  <c r="S47" i="15"/>
  <c r="U47" i="15"/>
  <c r="H18" i="11"/>
  <c r="H19" i="11" s="1"/>
  <c r="F18" i="12"/>
  <c r="G18" i="12" s="1"/>
  <c r="N4" i="15"/>
  <c r="M4" i="16"/>
  <c r="H8" i="11"/>
  <c r="H9" i="11" s="1"/>
  <c r="G7" i="12"/>
  <c r="G37" i="12"/>
  <c r="S15" i="15"/>
  <c r="S23" i="15"/>
  <c r="S31" i="15"/>
  <c r="S39" i="15"/>
  <c r="G2" i="12"/>
  <c r="G22" i="12"/>
  <c r="G67" i="12"/>
  <c r="U45" i="15"/>
  <c r="M6" i="16"/>
  <c r="H74" i="12"/>
  <c r="G31" i="12"/>
  <c r="G60" i="12"/>
  <c r="G24" i="12"/>
  <c r="H79" i="6"/>
  <c r="R11" i="16"/>
  <c r="R12" i="16" s="1"/>
  <c r="R13" i="16" s="1"/>
  <c r="U3" i="15"/>
  <c r="U5" i="15"/>
  <c r="U11" i="15"/>
  <c r="U19" i="15"/>
  <c r="U27" i="15"/>
  <c r="U35" i="15"/>
  <c r="U53" i="15"/>
  <c r="J4" i="16"/>
  <c r="J6" i="16"/>
  <c r="D78" i="12"/>
  <c r="S13" i="15"/>
  <c r="S21" i="15"/>
  <c r="S29" i="15"/>
  <c r="S37" i="15"/>
  <c r="S55" i="15"/>
  <c r="K117" i="56" l="1"/>
  <c r="K118" i="56" s="1"/>
  <c r="K128" i="56" s="1"/>
  <c r="K129" i="56" s="1"/>
  <c r="K130" i="56" s="1"/>
  <c r="I119" i="56"/>
  <c r="I128" i="56"/>
  <c r="I129" i="56" s="1"/>
  <c r="I130" i="56" s="1"/>
  <c r="K115" i="57"/>
  <c r="K116" i="57" s="1"/>
  <c r="H60" i="12"/>
  <c r="I115" i="57"/>
  <c r="I116" i="57" s="1"/>
  <c r="K62" i="6"/>
  <c r="K70" i="6" s="1"/>
  <c r="I62" i="6"/>
  <c r="I70" i="6" s="1"/>
  <c r="M79" i="6"/>
  <c r="M67" i="6"/>
  <c r="M36" i="6"/>
  <c r="M37" i="6" s="1"/>
  <c r="I33" i="6"/>
  <c r="I32" i="6"/>
  <c r="K99" i="6"/>
  <c r="K58" i="6"/>
  <c r="K69" i="6" s="1"/>
  <c r="H2" i="12"/>
  <c r="H37" i="12"/>
  <c r="I99" i="6"/>
  <c r="H24" i="12"/>
  <c r="H16" i="12"/>
  <c r="H20" i="11"/>
  <c r="I80" i="6"/>
  <c r="K32" i="6"/>
  <c r="K80" i="6"/>
  <c r="K33" i="6"/>
  <c r="K74" i="6"/>
  <c r="I122" i="6"/>
  <c r="I35" i="6"/>
  <c r="K122" i="6"/>
  <c r="K35" i="6"/>
  <c r="S58" i="15"/>
  <c r="S59" i="15" s="1"/>
  <c r="S60" i="15" s="1"/>
  <c r="U58" i="15"/>
  <c r="U59" i="15" s="1"/>
  <c r="U60" i="15" s="1"/>
  <c r="K119" i="56" l="1"/>
  <c r="K84" i="6"/>
  <c r="I84" i="6"/>
  <c r="I131" i="56"/>
  <c r="I132" i="56" s="1"/>
  <c r="M132" i="56" s="1"/>
  <c r="F20" i="46"/>
  <c r="F21" i="46"/>
  <c r="K131" i="56"/>
  <c r="K132" i="56" s="1"/>
  <c r="I117" i="57"/>
  <c r="I126" i="57"/>
  <c r="I127" i="57" s="1"/>
  <c r="I128" i="57" s="1"/>
  <c r="I129" i="57" s="1"/>
  <c r="K117" i="57"/>
  <c r="K126" i="57"/>
  <c r="K127" i="57" s="1"/>
  <c r="K128" i="57" s="1"/>
  <c r="M44" i="6"/>
  <c r="M45" i="6"/>
  <c r="M40" i="6"/>
  <c r="M47" i="6"/>
  <c r="M41" i="6"/>
  <c r="M46" i="6"/>
  <c r="M42" i="6"/>
  <c r="M43" i="6"/>
  <c r="M124" i="6"/>
  <c r="M101" i="6"/>
  <c r="H78" i="12"/>
  <c r="I79" i="6"/>
  <c r="I34" i="6"/>
  <c r="I36" i="6" s="1"/>
  <c r="I37" i="6" s="1"/>
  <c r="K34" i="6"/>
  <c r="K36" i="6" s="1"/>
  <c r="K37" i="6" s="1"/>
  <c r="K129" i="57" l="1"/>
  <c r="K130" i="57" s="1"/>
  <c r="F24" i="46"/>
  <c r="I130" i="57"/>
  <c r="M130" i="57" s="1"/>
  <c r="F23" i="46"/>
  <c r="I21" i="46"/>
  <c r="J21" i="46"/>
  <c r="K21" i="46" s="1"/>
  <c r="G21" i="46"/>
  <c r="H21" i="46" s="1"/>
  <c r="I20" i="46"/>
  <c r="G20" i="46"/>
  <c r="J20" i="46"/>
  <c r="K79" i="6"/>
  <c r="I124" i="6"/>
  <c r="I101" i="6"/>
  <c r="I46" i="6"/>
  <c r="I43" i="6"/>
  <c r="I45" i="6"/>
  <c r="I47" i="6"/>
  <c r="I41" i="6"/>
  <c r="I44" i="6"/>
  <c r="I42" i="6"/>
  <c r="K41" i="6"/>
  <c r="K43" i="6"/>
  <c r="K44" i="6"/>
  <c r="K46" i="6"/>
  <c r="K45" i="6"/>
  <c r="K47" i="6"/>
  <c r="K40" i="6"/>
  <c r="K42" i="6"/>
  <c r="I40" i="6"/>
  <c r="K67" i="6"/>
  <c r="I67" i="6"/>
  <c r="I23" i="46" l="1"/>
  <c r="J23" i="46"/>
  <c r="G23" i="46"/>
  <c r="K20" i="46"/>
  <c r="J22" i="46"/>
  <c r="K22" i="46" s="1"/>
  <c r="I24" i="46"/>
  <c r="J24" i="46"/>
  <c r="K24" i="46" s="1"/>
  <c r="G24" i="46"/>
  <c r="H24" i="46" s="1"/>
  <c r="H20" i="46"/>
  <c r="H22" i="46" s="1"/>
  <c r="G22" i="46"/>
  <c r="K101" i="6"/>
  <c r="M48" i="6"/>
  <c r="M68" i="6" s="1"/>
  <c r="K124" i="6"/>
  <c r="K48" i="6"/>
  <c r="K68" i="6" s="1"/>
  <c r="K71" i="6" s="1"/>
  <c r="I48" i="6"/>
  <c r="I68" i="6" s="1"/>
  <c r="I71" i="6" s="1"/>
  <c r="H23" i="46" l="1"/>
  <c r="H25" i="46" s="1"/>
  <c r="G25" i="46"/>
  <c r="K23" i="46"/>
  <c r="J25" i="46"/>
  <c r="K25" i="46" s="1"/>
  <c r="M71" i="6"/>
  <c r="I123" i="6"/>
  <c r="I100" i="6"/>
  <c r="K123" i="6"/>
  <c r="K100" i="6"/>
  <c r="M100" i="6" l="1"/>
  <c r="M123" i="6"/>
  <c r="I97" i="6"/>
  <c r="K97" i="6"/>
  <c r="M90" i="6" l="1"/>
  <c r="K90" i="6"/>
  <c r="I90" i="6"/>
  <c r="K126" i="6"/>
  <c r="K103" i="6"/>
  <c r="I126" i="6"/>
  <c r="I103" i="6"/>
  <c r="M125" i="6" l="1"/>
  <c r="M127" i="6" s="1"/>
  <c r="M107" i="6" s="1"/>
  <c r="M108" i="6" s="1"/>
  <c r="M102" i="6"/>
  <c r="M104" i="6" s="1"/>
  <c r="K125" i="6"/>
  <c r="K127" i="6" s="1"/>
  <c r="K107" i="6" s="1"/>
  <c r="K102" i="6"/>
  <c r="K104" i="6" s="1"/>
  <c r="I125" i="6"/>
  <c r="I127" i="6" s="1"/>
  <c r="I107" i="6" s="1"/>
  <c r="I108" i="6" s="1"/>
  <c r="I102" i="6"/>
  <c r="I104" i="6" s="1"/>
  <c r="K108" i="6" l="1"/>
  <c r="K109" i="6" s="1"/>
  <c r="K110" i="6" s="1"/>
  <c r="K115" i="6" s="1"/>
  <c r="I109" i="6"/>
  <c r="I110" i="6" s="1"/>
  <c r="I113" i="6" s="1"/>
  <c r="M109" i="6" l="1"/>
  <c r="M110" i="6" s="1"/>
  <c r="M113" i="6" s="1"/>
  <c r="K116" i="6"/>
  <c r="K113" i="6"/>
  <c r="K112" i="6"/>
  <c r="I115" i="6"/>
  <c r="I116" i="6"/>
  <c r="I112" i="6"/>
  <c r="M116" i="6" l="1"/>
  <c r="M112" i="6"/>
  <c r="M115" i="6"/>
  <c r="I117" i="6"/>
  <c r="I118" i="6" s="1"/>
  <c r="I119" i="6" s="1"/>
  <c r="K117" i="6"/>
  <c r="K118" i="6" s="1"/>
  <c r="K119" i="6" s="1"/>
  <c r="M117" i="6" l="1"/>
  <c r="M118" i="6" s="1"/>
  <c r="I128" i="6"/>
  <c r="I129" i="6" s="1"/>
  <c r="K128" i="6"/>
  <c r="I130" i="6" l="1"/>
  <c r="F17" i="46" s="1"/>
  <c r="K129" i="6"/>
  <c r="K130" i="6" s="1"/>
  <c r="K131" i="6" s="1"/>
  <c r="K132" i="6" s="1"/>
  <c r="M119" i="6"/>
  <c r="M128" i="6"/>
  <c r="M129" i="6" s="1"/>
  <c r="F18" i="46" l="1"/>
  <c r="I18" i="46" s="1"/>
  <c r="G17" i="46"/>
  <c r="H17" i="46" s="1"/>
  <c r="I17" i="46"/>
  <c r="J17" i="46"/>
  <c r="I131" i="6"/>
  <c r="I132" i="6" s="1"/>
  <c r="J18" i="46"/>
  <c r="K18" i="46" s="1"/>
  <c r="F16" i="46"/>
  <c r="M130" i="6"/>
  <c r="K17" i="46" l="1"/>
  <c r="G18" i="46"/>
  <c r="H18" i="46" s="1"/>
  <c r="M131" i="6"/>
  <c r="M132" i="6" s="1"/>
  <c r="O132" i="6" s="1"/>
  <c r="J16" i="46"/>
  <c r="J19" i="46" s="1"/>
  <c r="I16" i="46"/>
  <c r="G16" i="46"/>
  <c r="J26" i="46" l="1"/>
  <c r="C26" i="37" s="1"/>
  <c r="K19" i="46"/>
  <c r="K16" i="46"/>
  <c r="H16" i="46"/>
  <c r="H19" i="46" s="1"/>
  <c r="H26" i="46" s="1"/>
  <c r="G19" i="46"/>
  <c r="G26" i="46" s="1"/>
  <c r="K26" i="46" l="1"/>
</calcChain>
</file>

<file path=xl/sharedStrings.xml><?xml version="1.0" encoding="utf-8"?>
<sst xmlns="http://schemas.openxmlformats.org/spreadsheetml/2006/main" count="1584" uniqueCount="473">
  <si>
    <t>INSTRUÇÕES PARA O PREENCHIMENTO DAS PLANILHAS</t>
  </si>
  <si>
    <r>
      <t>(1</t>
    </r>
    <r>
      <rPr>
        <sz val="12"/>
        <color rgb="FF000000"/>
        <rFont val="Calibri"/>
        <family val="2"/>
      </rPr>
      <t>) Deverá ser observado o piso salarial da respectiva categoria, firmado em instrumento coletivo de trabalho vigente.</t>
    </r>
  </si>
  <si>
    <r>
      <t>(2)</t>
    </r>
    <r>
      <rPr>
        <sz val="12"/>
        <color rgb="FF000000"/>
        <rFont val="Calibri"/>
        <family val="2"/>
      </rPr>
      <t xml:space="preserve"> Em razão de Laudo Técnico Pericial há previsão para o pagamento do </t>
    </r>
    <r>
      <rPr>
        <b/>
        <sz val="12"/>
        <color rgb="FF000000"/>
        <rFont val="Times New Roman1"/>
      </rPr>
      <t>ADICIONAL DE PERICULOSIDADE de 30%</t>
    </r>
    <r>
      <rPr>
        <sz val="12"/>
        <color rgb="FF000000"/>
        <rFont val="Calibri"/>
        <family val="2"/>
      </rPr>
      <t xml:space="preserve"> sobre o salário-base da categoria para todas as Unidades de Polícia Federal contempladas neste. Relativo a higienização por servente das instalações sanitárias utilizadas pelo público em geral há previsão de pagamento de 40% de adicional de insalubridade sobre o salário mínimo nacional vigente. </t>
    </r>
    <r>
      <rPr>
        <b/>
        <sz val="12"/>
        <color rgb="FF000000"/>
        <rFont val="Times New Roman1"/>
      </rPr>
      <t>Referidos adicionais não são cumulativos</t>
    </r>
    <r>
      <rPr>
        <sz val="12"/>
        <color rgb="FF000000"/>
        <rFont val="Calibri"/>
        <family val="2"/>
      </rPr>
      <t>;</t>
    </r>
  </si>
  <si>
    <r>
      <t>(3)</t>
    </r>
    <r>
      <rPr>
        <sz val="12"/>
        <color rgb="FF000000"/>
        <rFont val="Calibri"/>
        <family val="2"/>
      </rPr>
      <t xml:space="preserve"> Face a previsão de pagamento de 40% de adicional de insalubridade para os serventes que higienizam as instalações sanitárias utilizadas pelo público em geral, deverão ser destacados serventes específicos para referidos trabalhos, estimando-se no mínimo 01 servente para cada localidade com previsão de serviços com insalubridade;</t>
    </r>
  </si>
  <si>
    <r>
      <t xml:space="preserve">(4) </t>
    </r>
    <r>
      <rPr>
        <sz val="12"/>
        <color rgb="FF000000"/>
        <rFont val="Calibri"/>
        <family val="2"/>
      </rPr>
      <t>Deverão ser preenchidas as planilhas abaixo, as quais deverão ser apresentadas juntamente com a proposta de preços:</t>
    </r>
    <r>
      <rPr>
        <sz val="12"/>
        <color rgb="FF000000"/>
        <rFont val="Calibri"/>
        <family val="2"/>
      </rPr>
      <t xml:space="preserve">
a) SERVENTE com vale transporte (Porto Velho) – </t>
    </r>
    <r>
      <rPr>
        <b/>
        <sz val="12"/>
        <color rgb="FF000000"/>
        <rFont val="Times New Roman1"/>
      </rPr>
      <t>Periculosidade</t>
    </r>
    <r>
      <rPr>
        <sz val="12"/>
        <color rgb="FF000000"/>
        <rFont val="Calibri"/>
        <family val="2"/>
      </rPr>
      <t xml:space="preserve"> / </t>
    </r>
    <r>
      <rPr>
        <b/>
        <sz val="12"/>
        <color rgb="FF000000"/>
        <rFont val="Times New Roman1"/>
      </rPr>
      <t>Insalubridade</t>
    </r>
    <r>
      <rPr>
        <sz val="12"/>
        <color rgb="FF000000"/>
        <rFont val="Calibri"/>
        <family val="2"/>
      </rPr>
      <t>;</t>
    </r>
    <r>
      <rPr>
        <sz val="12"/>
        <color rgb="FF000000"/>
        <rFont val="Calibri"/>
        <family val="2"/>
      </rPr>
      <t xml:space="preserve">
b) SERVENTE com vale transporte (Ji-Paraná) – </t>
    </r>
    <r>
      <rPr>
        <b/>
        <sz val="12"/>
        <color rgb="FF000000"/>
        <rFont val="Times New Roman1"/>
      </rPr>
      <t>Periculosidade</t>
    </r>
    <r>
      <rPr>
        <sz val="12"/>
        <color rgb="FF000000"/>
        <rFont val="Calibri"/>
        <family val="2"/>
      </rPr>
      <t xml:space="preserve"> / </t>
    </r>
    <r>
      <rPr>
        <b/>
        <sz val="12"/>
        <color rgb="FF000000"/>
        <rFont val="Times New Roman1"/>
      </rPr>
      <t>Insalubridade</t>
    </r>
    <r>
      <rPr>
        <sz val="12"/>
        <color rgb="FF000000"/>
        <rFont val="Calibri"/>
        <family val="2"/>
      </rPr>
      <t>;</t>
    </r>
    <r>
      <rPr>
        <sz val="12"/>
        <color rgb="FF000000"/>
        <rFont val="Calibri"/>
        <family val="2"/>
      </rPr>
      <t xml:space="preserve">
c) SERVENTE SEM vale transporte (GMI, P. Bueno, VLA, Pimenteiras e Bases Operacionais) - </t>
    </r>
    <r>
      <rPr>
        <b/>
        <sz val="12"/>
        <color rgb="FF000000"/>
        <rFont val="Times New Roman1"/>
      </rPr>
      <t>Periculosidade</t>
    </r>
    <r>
      <rPr>
        <sz val="12"/>
        <color rgb="FF000000"/>
        <rFont val="Calibri"/>
        <family val="2"/>
      </rPr>
      <t xml:space="preserve"> / </t>
    </r>
    <r>
      <rPr>
        <b/>
        <sz val="12"/>
        <color rgb="FF000000"/>
        <rFont val="Times New Roman1"/>
      </rPr>
      <t>Insalubridade</t>
    </r>
    <r>
      <rPr>
        <sz val="12"/>
        <color rgb="FF000000"/>
        <rFont val="Calibri"/>
        <family val="2"/>
      </rPr>
      <t>; d) Planilha com áreas, produtividade e valores por m² (Anexo I-B);</t>
    </r>
    <r>
      <rPr>
        <sz val="12"/>
        <color rgb="FF000000"/>
        <rFont val="Calibri"/>
        <family val="2"/>
      </rPr>
      <t xml:space="preserve">
e) LAVADOR DE CARRO com </t>
    </r>
    <r>
      <rPr>
        <b/>
        <sz val="12"/>
        <color rgb="FF000000"/>
        <rFont val="Times New Roman1"/>
      </rPr>
      <t>periculosidade e vale transporte</t>
    </r>
    <r>
      <rPr>
        <sz val="12"/>
        <color rgb="FF000000"/>
        <rFont val="Calibri"/>
        <family val="2"/>
      </rPr>
      <t xml:space="preserve"> (PVH);</t>
    </r>
    <r>
      <rPr>
        <sz val="12"/>
        <color rgb="FF000000"/>
        <rFont val="Calibri"/>
        <family val="2"/>
      </rPr>
      <t xml:space="preserve">
f) LAVADOR DE CARRO com </t>
    </r>
    <r>
      <rPr>
        <b/>
        <sz val="12"/>
        <color rgb="FF000000"/>
        <rFont val="Times New Roman1"/>
      </rPr>
      <t>periculosidade e vale transporte</t>
    </r>
    <r>
      <rPr>
        <sz val="12"/>
        <color rgb="FF000000"/>
        <rFont val="Calibri"/>
        <family val="2"/>
      </rPr>
      <t xml:space="preserve"> (Ji-Paraná);</t>
    </r>
    <r>
      <rPr>
        <sz val="12"/>
        <color rgb="FF000000"/>
        <rFont val="Calibri"/>
        <family val="2"/>
      </rPr>
      <t xml:space="preserve">
g) LAVADOR DE CARRO com </t>
    </r>
    <r>
      <rPr>
        <b/>
        <sz val="12"/>
        <color rgb="FF000000"/>
        <rFont val="Times New Roman1"/>
      </rPr>
      <t>periculosidade e SEM vale transporte</t>
    </r>
    <r>
      <rPr>
        <sz val="12"/>
        <color rgb="FF000000"/>
        <rFont val="Calibri"/>
        <family val="2"/>
      </rPr>
      <t xml:space="preserve"> (GMI e Vilhena);</t>
    </r>
    <r>
      <rPr>
        <sz val="12"/>
        <color rgb="FF000000"/>
        <rFont val="Calibri"/>
        <family val="2"/>
      </rPr>
      <t xml:space="preserve">
h) Planilha de custos dos uniformes para os serventes das áreas internas / externas e lavador de veículos e; i) Planilhas de preços unitários e totais dos materiais/equipamentos de limpeza predial e de veículos, observado os valores máximos aceitos.</t>
    </r>
    <r>
      <rPr>
        <sz val="12"/>
        <color rgb="FF000000"/>
        <rFont val="Calibri"/>
        <family val="2"/>
      </rPr>
      <t xml:space="preserve">
</t>
    </r>
  </si>
  <si>
    <r>
      <t>(5)</t>
    </r>
    <r>
      <rPr>
        <sz val="12"/>
        <color rgb="FFFF0000"/>
        <rFont val="Calibri"/>
        <family val="2"/>
      </rPr>
      <t xml:space="preserve"> Para o campo do SAT (2.2 - C) deverá ser considerada a alíquota de 1%, 2% ou 3% referente ao grau de risco de acidente de trabalho incidente para a licitante. Tratando-se de empresa optante do simples, cuja alíquota do RAT na GFIP seja 0, a licitante deverá considerar para definição do RAT que constará de sua planilha de custos e formação de preços, o correspondente a atividade preponderante da empresa - RAT do CNAE preponderante, para fins de retenção para a conta vinculada;</t>
    </r>
  </si>
  <si>
    <r>
      <t>(6)</t>
    </r>
    <r>
      <rPr>
        <sz val="12"/>
        <color rgb="FF000000"/>
        <rFont val="Calibri"/>
        <family val="2"/>
      </rPr>
      <t xml:space="preserve"> Para o cálculo do auxílio transporte estabelecem-se: a) 21 dias de trabalho/mês, jornada de 44 horas semanais; b) Informar o valor da passagem praticada nos munícipios de Porto Velho e Ji-Paraná e; c) Para as demais localidades que não possuem transporte coletivo dever-se-á prever a título de reembolso com despesas mensais de transporte o valor R$ 90,00, conforme previsto na Convenção Coletiva 2018/2018 do SINTELPES.</t>
    </r>
  </si>
  <si>
    <r>
      <t>(7)</t>
    </r>
    <r>
      <rPr>
        <sz val="12"/>
        <color rgb="FF000000"/>
        <rFont val="Calibri"/>
        <family val="2"/>
      </rPr>
      <t xml:space="preserve"> Vale alimentação/ (mercado) e respectivo desconto, conforme previsto no acordo coletivo da categoria.</t>
    </r>
  </si>
  <si>
    <r>
      <t xml:space="preserve">(8) </t>
    </r>
    <r>
      <rPr>
        <sz val="12"/>
        <color rgb="FF000000"/>
        <rFont val="Calibri"/>
        <family val="2"/>
      </rPr>
      <t xml:space="preserve">Considerando que há previsão de retenção mensal de valores para a conta vinculada, conforme previsto na IN 05/2017 SLTI/MP deverão ser considerados os percentuais a seguir indicados: </t>
    </r>
    <r>
      <rPr>
        <b/>
        <sz val="12"/>
        <color rgb="FF000000"/>
        <rFont val="Times New Roman1"/>
      </rPr>
      <t>a)</t>
    </r>
    <r>
      <rPr>
        <sz val="12"/>
        <color rgb="FF000000"/>
        <rFont val="Calibri"/>
        <family val="2"/>
      </rPr>
      <t xml:space="preserve"> Submódulo 2.1 – letra A - 8,33%;</t>
    </r>
    <r>
      <rPr>
        <b/>
        <sz val="12"/>
        <color rgb="FF000000"/>
        <rFont val="Times New Roman1"/>
      </rPr>
      <t xml:space="preserve"> b)</t>
    </r>
    <r>
      <rPr>
        <sz val="12"/>
        <color rgb="FF000000"/>
        <rFont val="Calibri"/>
        <family val="2"/>
      </rPr>
      <t xml:space="preserve"> Submódulo 2.1 – letra B - 2,98%; </t>
    </r>
    <r>
      <rPr>
        <b/>
        <sz val="12"/>
        <color rgb="FF000000"/>
        <rFont val="Times New Roman1"/>
      </rPr>
      <t>c)</t>
    </r>
    <r>
      <rPr>
        <sz val="12"/>
        <color rgb="FF000000"/>
        <rFont val="Calibri"/>
        <family val="2"/>
      </rPr>
      <t xml:space="preserve"> Módulo 3 – letra C - 4,35%; </t>
    </r>
    <r>
      <rPr>
        <b/>
        <sz val="12"/>
        <color rgb="FF000000"/>
        <rFont val="Times New Roman1"/>
      </rPr>
      <t>d)</t>
    </r>
    <r>
      <rPr>
        <sz val="12"/>
        <color rgb="FF000000"/>
        <rFont val="Calibri"/>
        <family val="2"/>
      </rPr>
      <t xml:space="preserve"> Módulo 3 – letra F - 0,65% e </t>
    </r>
    <r>
      <rPr>
        <b/>
        <sz val="12"/>
        <color rgb="FF000000"/>
        <rFont val="Times New Roman1"/>
      </rPr>
      <t xml:space="preserve">e) </t>
    </r>
    <r>
      <rPr>
        <sz val="12"/>
        <color rgb="FF000000"/>
        <rFont val="Calibri"/>
        <family val="2"/>
      </rPr>
      <t>Submódulo 4.1 - A - 9,12%.</t>
    </r>
  </si>
  <si>
    <r>
      <t>(9)</t>
    </r>
    <r>
      <rPr>
        <sz val="12"/>
        <color rgb="FF000000"/>
        <rFont val="Calibri"/>
        <family val="2"/>
      </rPr>
      <t xml:space="preserve"> Observar como percentual máximo para o Módulo 3 – letra D - 1,94%;</t>
    </r>
  </si>
  <si>
    <r>
      <t>(10)</t>
    </r>
    <r>
      <rPr>
        <b/>
        <sz val="12"/>
        <color rgb="FF800000"/>
        <rFont val="Calibri"/>
        <family val="2"/>
      </rPr>
      <t xml:space="preserve"> </t>
    </r>
    <r>
      <rPr>
        <sz val="12"/>
        <color rgb="FF000000"/>
        <rFont val="Calibri"/>
        <family val="2"/>
      </rPr>
      <t xml:space="preserve">Em cumprimento ao disposto no </t>
    </r>
    <r>
      <rPr>
        <b/>
        <sz val="12"/>
        <color rgb="FF000000"/>
        <rFont val="Calibri"/>
        <family val="2"/>
      </rPr>
      <t>Acórdão TCU 950/2007 – Plenário de 23/05/2007 não deverão ser previstos na planilha de custos os valores referentes ao</t>
    </r>
    <r>
      <rPr>
        <sz val="12"/>
        <color rgb="FF000000"/>
        <rFont val="Calibri"/>
        <family val="2"/>
      </rPr>
      <t xml:space="preserve"> Imposto sobre a Renda da Pessoa Juridica (</t>
    </r>
    <r>
      <rPr>
        <b/>
        <sz val="12"/>
        <color rgb="FF000000"/>
        <rFont val="Calibri"/>
        <family val="2"/>
      </rPr>
      <t>IRPJ</t>
    </r>
    <r>
      <rPr>
        <sz val="12"/>
        <color rgb="FF000000"/>
        <rFont val="Calibri"/>
        <family val="2"/>
      </rPr>
      <t>) e à Contribuição Social sobre o Lucro Liquido (</t>
    </r>
    <r>
      <rPr>
        <b/>
        <sz val="12"/>
        <color rgb="FF000000"/>
        <rFont val="Calibri"/>
        <family val="2"/>
      </rPr>
      <t>CSLL</t>
    </r>
    <r>
      <rPr>
        <sz val="12"/>
        <color rgb="FF000000"/>
        <rFont val="Calibri"/>
        <family val="2"/>
      </rPr>
      <t>).</t>
    </r>
    <r>
      <rPr>
        <sz val="12"/>
        <color rgb="FF000000"/>
        <rFont val="Calibri"/>
        <family val="2"/>
      </rPr>
      <t xml:space="preserve">
Quanto ao </t>
    </r>
    <r>
      <rPr>
        <b/>
        <sz val="12"/>
        <color rgb="FF000000"/>
        <rFont val="Calibri"/>
        <family val="2"/>
      </rPr>
      <t>ISS</t>
    </r>
    <r>
      <rPr>
        <sz val="12"/>
        <color rgb="FF000000"/>
        <rFont val="Calibri"/>
        <family val="2"/>
      </rPr>
      <t xml:space="preserve">, </t>
    </r>
    <r>
      <rPr>
        <b/>
        <sz val="12"/>
        <color rgb="FF000000"/>
        <rFont val="Calibri"/>
        <family val="2"/>
      </rPr>
      <t>informar a alíquota prevista na legislação municipal onde os serviços serão prestados</t>
    </r>
    <r>
      <rPr>
        <sz val="12"/>
        <color rgb="FF000000"/>
        <rFont val="Calibri"/>
        <family val="2"/>
      </rPr>
      <t>.</t>
    </r>
    <r>
      <rPr>
        <sz val="12"/>
        <color rgb="FF000000"/>
        <rFont val="Calibri"/>
        <family val="2"/>
      </rPr>
      <t xml:space="preserve">
Na formulação da proposta, a licitante deverá observar o regime de tributação ao qual está submetida.</t>
    </r>
    <r>
      <rPr>
        <sz val="12"/>
        <color rgb="FF000000"/>
        <rFont val="Calibri"/>
        <family val="2"/>
      </rPr>
      <t xml:space="preserve">
Caso a empresa seja optante do simples nacional, deverá informar as alíquotas a que está obrigada a recolher, em conformidade com o disposto na Lei Complementar 123/06.</t>
    </r>
    <r>
      <rPr>
        <sz val="12"/>
        <color rgb="FF000000"/>
        <rFont val="Calibri"/>
        <family val="2"/>
      </rPr>
      <t xml:space="preserve">
</t>
    </r>
  </si>
  <si>
    <r>
      <t>(11)</t>
    </r>
    <r>
      <rPr>
        <b/>
        <sz val="12"/>
        <color rgb="FF800000"/>
        <rFont val="Calibri"/>
        <family val="2"/>
      </rPr>
      <t xml:space="preserve"> </t>
    </r>
    <r>
      <rPr>
        <sz val="12"/>
        <color rgb="FF000000"/>
        <rFont val="Calibri"/>
        <family val="2"/>
      </rPr>
      <t>A licitante, Microempresa ou Empresa de Pequeno Porte, que venha a ser contratada para a prestação de serviços mediante cessão de mão de obra, não poderá beneficiar-se da condição de optante pelo Simples Nacional, salvo as exceções previstas no § 5º-C do art. 18 da LC no 123, de 2006.</t>
    </r>
  </si>
  <si>
    <t>PROPOSTA DE PREÇOS</t>
  </si>
  <si>
    <r>
      <t>ATENÇÃO:</t>
    </r>
    <r>
      <rPr>
        <sz val="11"/>
        <rFont val="Times New Roman"/>
        <family val="1"/>
      </rPr>
      <t xml:space="preserve"> PREENCHER SOMENTE AS CÉLULAS COM FUNDO </t>
    </r>
    <r>
      <rPr>
        <u/>
        <sz val="11"/>
        <rFont val="Times New Roman"/>
        <family val="1"/>
      </rPr>
      <t>AMARELO</t>
    </r>
    <r>
      <rPr>
        <sz val="11"/>
        <rFont val="Times New Roman"/>
        <family val="1"/>
      </rPr>
      <t>.</t>
    </r>
  </si>
  <si>
    <t>IDENTIFICAÇÃO DA EMPRESA</t>
  </si>
  <si>
    <t>RAZÃO SOCIAL:</t>
  </si>
  <si>
    <t>CNPJ:</t>
  </si>
  <si>
    <t>TEL.:</t>
  </si>
  <si>
    <t>E-MAIL:</t>
  </si>
  <si>
    <t>ENDEREÇO:</t>
  </si>
  <si>
    <t>CIDADE:</t>
  </si>
  <si>
    <t>ESTADO:</t>
  </si>
  <si>
    <t>NOME P/ CONTATO:</t>
  </si>
  <si>
    <t>DADOS DO REPRESENTANTE LEGAL</t>
  </si>
  <si>
    <t>NOME:</t>
  </si>
  <si>
    <t>CPF:</t>
  </si>
  <si>
    <t>RG:</t>
  </si>
  <si>
    <t>CARGO OCUPADO NA EMPRESA:</t>
  </si>
  <si>
    <t>INFORMAÇÕES REFERENTES AO OBJETO</t>
  </si>
  <si>
    <t>DECLARAÇÃO 1</t>
  </si>
  <si>
    <t xml:space="preserve">Declaramos que no preço proposto estão incluídos todos os custos relacionados com salários, encargos trabalhistas, previdenciários e sociais, e todos os demais impostos, taxas e outras despesas decorrentes de exigência legal. </t>
  </si>
  <si>
    <t>PRAZO DE VALIDADE DA PROPOSTA:</t>
  </si>
  <si>
    <r>
      <t>dias</t>
    </r>
    <r>
      <rPr>
        <sz val="11"/>
        <rFont val="Times New Roman"/>
        <family val="1"/>
      </rPr>
      <t xml:space="preserve"> (mínimo90 dias)</t>
    </r>
  </si>
  <si>
    <t>(mínimo de 60 dias)</t>
  </si>
  <si>
    <r>
      <t>PREÇO GLOBAL (60 meses)*</t>
    </r>
    <r>
      <rPr>
        <b/>
        <sz val="11"/>
        <rFont val="Times New Roman"/>
        <family val="1"/>
      </rPr>
      <t xml:space="preserve"> ==&gt;
</t>
    </r>
  </si>
  <si>
    <t>VALOR TOTAL DA PROPOSTA POR EXTENSO</t>
  </si>
  <si>
    <t>LOCAL E DATA</t>
  </si>
  <si>
    <t>NOME E ASSINATURA DO RESPONSÁVEL LEGAL</t>
  </si>
  <si>
    <t>INSTRUÇÕES PARA O PREENCHIMENTO DA PLANILHA DE CUSTOS E FORMAÇÃO DE PREÇOS</t>
  </si>
  <si>
    <t>ITEM</t>
  </si>
  <si>
    <t>LOCAL</t>
  </si>
  <si>
    <t>PREÇO MENSAL (R$)</t>
  </si>
  <si>
    <t>PREÇO ANUAL (R$)</t>
  </si>
  <si>
    <t>DESCRIÇÃO</t>
  </si>
  <si>
    <t>Tipo de Área</t>
  </si>
  <si>
    <t>Área Existente M²</t>
  </si>
  <si>
    <t>SIM</t>
  </si>
  <si>
    <t>AI</t>
  </si>
  <si>
    <t>AE</t>
  </si>
  <si>
    <t>E</t>
  </si>
  <si>
    <t>NÃO</t>
  </si>
  <si>
    <t>Observação:</t>
  </si>
  <si>
    <t>POSTO</t>
  </si>
  <si>
    <t>Porto Velho</t>
  </si>
  <si>
    <t>Ji-Paraná</t>
  </si>
  <si>
    <t>SUBTOTAL</t>
  </si>
  <si>
    <t>PLANILHA DE CUSTOS E FORMAÇÃO DE PREÇOS</t>
  </si>
  <si>
    <t>Discriminação dos Serviços (dados referentes à contratação)</t>
  </si>
  <si>
    <t>A</t>
  </si>
  <si>
    <t>Data de apresentação da proposta (dia/mês/ano)</t>
  </si>
  <si>
    <t>B</t>
  </si>
  <si>
    <t>Município/UF</t>
  </si>
  <si>
    <t>Porto Velho/RO</t>
  </si>
  <si>
    <t>C</t>
  </si>
  <si>
    <t>Ano do Acordo, Convenção ou Sentença Normativa em Dissídio Coletivo</t>
  </si>
  <si>
    <t>D</t>
  </si>
  <si>
    <t>Número de meses de execução contratual</t>
  </si>
  <si>
    <t>60 meses</t>
  </si>
  <si>
    <t>Identificação do Serviço</t>
  </si>
  <si>
    <t>Tipo de serviço</t>
  </si>
  <si>
    <t>Unidade
de
Medida</t>
  </si>
  <si>
    <t>Quantidade total a contratar (em função da unidade de medida) - convertida</t>
  </si>
  <si>
    <t>Dados complementares para composição dos custos referente à mão de obra</t>
  </si>
  <si>
    <t>Tipo de serviço (mesmo serviço com características distintas)</t>
  </si>
  <si>
    <t>Classificação Brasileira de Ocupações (CBO)</t>
  </si>
  <si>
    <t>Salário normativo da categoria profissional</t>
  </si>
  <si>
    <t>Categoria profissional (vinculada à execução contratual)</t>
  </si>
  <si>
    <t>Data base da categoria (dia/mês/ano)</t>
  </si>
  <si>
    <t>Salário mínimo vigente</t>
  </si>
  <si>
    <t>Dias trabalhados no mês</t>
  </si>
  <si>
    <t>Mão de obra</t>
  </si>
  <si>
    <t>MÓDULO 1: COMPOSIÇÃO DA REMUNERAÇÃO</t>
  </si>
  <si>
    <t>Composição da Remuneração</t>
  </si>
  <si>
    <t>%</t>
  </si>
  <si>
    <t>Valor (R$)</t>
  </si>
  <si>
    <t>Adicional de Periculosidade</t>
  </si>
  <si>
    <t>Outros (especificar)</t>
  </si>
  <si>
    <t>Total da Remuneração</t>
  </si>
  <si>
    <t>MÓDULO 2: ENCARGOS e BENEFÍCIOS ANUAIS, MENSAIS E DIÁRIOS</t>
  </si>
  <si>
    <t>Submódulo 2.1 - 13º (décimo terceiro) Salário, Férias e Adicional de Férias</t>
  </si>
  <si>
    <t>2.1</t>
  </si>
  <si>
    <t>13º (décimo terceiro) Salário, Férias e Adicional de Férias</t>
  </si>
  <si>
    <t>TOTAL</t>
  </si>
  <si>
    <t xml:space="preserve">BASE DE CÁLCULO PARA O MÓDULO 2.2 </t>
  </si>
  <si>
    <t xml:space="preserve"> MÓDULO 1</t>
  </si>
  <si>
    <t xml:space="preserve"> MÓDULO 2.1</t>
  </si>
  <si>
    <t>2.2</t>
  </si>
  <si>
    <t>GPS, FGTS e outras contribuições</t>
  </si>
  <si>
    <t>INSS</t>
  </si>
  <si>
    <t>Salário educação</t>
  </si>
  <si>
    <t>SESC ou SESI</t>
  </si>
  <si>
    <t>SENAI-SENAC</t>
  </si>
  <si>
    <t>F</t>
  </si>
  <si>
    <t>SEBRAE</t>
  </si>
  <si>
    <t>G</t>
  </si>
  <si>
    <t>INCRA</t>
  </si>
  <si>
    <t>H</t>
  </si>
  <si>
    <t>FGTS</t>
  </si>
  <si>
    <t>Submódulo 2.3 - Benefícios Mensais e Diários</t>
  </si>
  <si>
    <t>2.3</t>
  </si>
  <si>
    <t>Benefícios Mensais e Diários</t>
  </si>
  <si>
    <t>Assistência médica e familiar</t>
  </si>
  <si>
    <t>Auxílio-creche</t>
  </si>
  <si>
    <t>Total de 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</si>
  <si>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</si>
  <si>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</si>
  <si>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</si>
  <si>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</si>
  <si>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</si>
  <si>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 xml:space="preserve">Incidência do FGTS sobre Aviso Prévio Indenizado </t>
  </si>
  <si>
    <t>Aviso Prévio Trabalhado</t>
  </si>
  <si>
    <t>Incidência de GPS, FGTS e outras contribuições sobre o Aviso Prévio Trabalhado (IN 07/18)</t>
  </si>
  <si>
    <t>Multa do FGTS sobre o Avisos Prévio Indenizado e Aviso Prévio Trabalhado (retido para conta vinculada)</t>
  </si>
  <si>
    <t xml:space="preserve">TOTAL </t>
  </si>
  <si>
    <t>Módulo 4 - Custo de Reposição do Profissional Ausente</t>
  </si>
  <si>
    <t>4.1</t>
  </si>
  <si>
    <t>Substituto nas Ausências legais</t>
  </si>
  <si>
    <t>Substituto na cobertura de Ausências legais</t>
  </si>
  <si>
    <t xml:space="preserve">Substituto na cobertura de Ausência por acidente de trabalho </t>
  </si>
  <si>
    <t>Substituto na cobertura de Outras ausências (especificar)</t>
  </si>
  <si>
    <t>MÓDULO 5: INSUMOS DIVERSOS</t>
  </si>
  <si>
    <t>Insumos Diversos</t>
  </si>
  <si>
    <t>Uniformes</t>
  </si>
  <si>
    <t>Outros</t>
  </si>
  <si>
    <t>Total de Insumos Diversos</t>
  </si>
  <si>
    <t>Nota: Valores mensais por empregado</t>
  </si>
  <si>
    <t>BASE DE CÁLCULO PARA O MÓDULO 6 = MÓDULO 1 + MÓDULO 2 + MÓDULO 3 + MÓDULO 4 + MÓDULO 5</t>
  </si>
  <si>
    <t>MÓDULO 2</t>
  </si>
  <si>
    <t xml:space="preserve"> MÓDULO 3</t>
  </si>
  <si>
    <t>MÓDULO 4</t>
  </si>
  <si>
    <t>MÓDULO 5</t>
  </si>
  <si>
    <t>MÓDULO 6 - CUSTOS INDIRETOS, TRIBUTOS E LUCROS</t>
  </si>
  <si>
    <t>Custos Indiretos, Lucro e Tributos</t>
  </si>
  <si>
    <t>Custos Indiretos</t>
  </si>
  <si>
    <t>Lucro (MT + M6.A)</t>
  </si>
  <si>
    <t xml:space="preserve">  FATURAMENTO  (MT + M6A + M6B)</t>
  </si>
  <si>
    <t>CÁLCULO POR DENTRO</t>
  </si>
  <si>
    <t>Tributos</t>
  </si>
  <si>
    <t>C.1    Tributos Federais (especificar)</t>
  </si>
  <si>
    <t xml:space="preserve">C.2 Tributos Municipais </t>
  </si>
  <si>
    <t>SOMA DOS TRIBUTOS</t>
  </si>
  <si>
    <t>TOTAL DOS CUSTOS INDIRETOS, LUCRO E TRIBUTOS</t>
  </si>
  <si>
    <t>MÓDULO 6:   TOTAL</t>
  </si>
  <si>
    <t xml:space="preserve">QUADRO-RESUMO DO CUSTO POR EMPREGADO </t>
  </si>
  <si>
    <t>Mão de obra vinculada à execução contratual (valor por empregado)</t>
  </si>
  <si>
    <t>Módulo 1 - Composição da Remuneração</t>
  </si>
  <si>
    <t>Módulo 2 - Encargos e Benefícios Anuais, Mensais e Diários</t>
  </si>
  <si>
    <t>Módulo 5 - Insumos Diversos</t>
  </si>
  <si>
    <t>Subtotal (A + B + C + D + E)</t>
  </si>
  <si>
    <t>Módulo 6 - Custos Indiretos, Lucro e Tributos</t>
  </si>
  <si>
    <t>Detalhamento</t>
  </si>
  <si>
    <t>LAVADOR DE VEÍCULOS</t>
  </si>
  <si>
    <t>CONSUMO ESTIMADO DE UNIFORME TOTAL AO ANO</t>
  </si>
  <si>
    <t>UNIFORME</t>
  </si>
  <si>
    <t>UNIDADE DE MEDIDA</t>
  </si>
  <si>
    <t>QUANT.</t>
  </si>
  <si>
    <t>VALOR  UNITÁRIO (R$)</t>
  </si>
  <si>
    <t>VALOR      TOTAL ANUAL      (R$)</t>
  </si>
  <si>
    <t>SERVENTE AREA INTERNA</t>
  </si>
  <si>
    <t>CAMISA: 100% algodão, manga curta, Polybrim Light, tergal Verão ou Cedroleve</t>
  </si>
  <si>
    <t>Unidade</t>
  </si>
  <si>
    <t>CALÇA: tecido jeans ou brim leve</t>
  </si>
  <si>
    <t>CALÇADO:tipo tênis, sapato baixo (tipo extremo conforto) ou botina, solado antiderrapante</t>
  </si>
  <si>
    <t>Par</t>
  </si>
  <si>
    <t>BOTA DE BORRACHA</t>
  </si>
  <si>
    <t>MEIA</t>
  </si>
  <si>
    <t>Custo ANUAL por funcionário</t>
  </si>
  <si>
    <t>(A) Custo MENSAL por funcionário AI</t>
  </si>
  <si>
    <t>SERVENTE AREA EXTERNA</t>
  </si>
  <si>
    <t>CAMISA:  manga curta em tecido 100% algodão, Polybrim Light, tergal Verão ou Cedroleve</t>
  </si>
  <si>
    <t>CAMISA: manga longa em tecido 100% algodão, Polybrim Light, tergal Verão ou Cedroleve</t>
  </si>
  <si>
    <t>CALÇA: tipo pijama em brim leve</t>
  </si>
  <si>
    <t>CALÇADO: tipo tênis, sapato baixo (tipo extremo conforto) ou botina, solado antiderrapante</t>
  </si>
  <si>
    <t>CAPA DE CHUVA</t>
  </si>
  <si>
    <r>
      <t xml:space="preserve">CHAPÉU: </t>
    </r>
    <r>
      <rPr>
        <sz val="11"/>
        <color rgb="FF000000"/>
        <rFont val="Calibri"/>
        <family val="2"/>
      </rPr>
      <t>tipo mexicano</t>
    </r>
  </si>
  <si>
    <t>(B) Custo MENSAL por funcionário AE</t>
  </si>
  <si>
    <t>Custo Mensal por funcionário                                                          Cálculo = (A + B / 2)</t>
  </si>
  <si>
    <t>Camisa de manga curta em tecido malha PV (malha fria) de 33% poliéster e 67% de viscose ou tecido dry fit 100% polyester</t>
  </si>
  <si>
    <t>CALÇA de elástico, tecido tactel 100% poliamida, características: tecido leve e de toque macio</t>
  </si>
  <si>
    <t>CALÇADO: tipo bota ou botina impermeável fechado, solado antiderrapante</t>
  </si>
  <si>
    <t>Valor ANUAL estimado por funcionário</t>
  </si>
  <si>
    <t>R$  MENSAL estimado por funcionário</t>
  </si>
  <si>
    <t>Produtividade em m²</t>
  </si>
  <si>
    <t>Funcionários Estimados</t>
  </si>
  <si>
    <t>Funcionáiros por Tipo de Área</t>
  </si>
  <si>
    <t>Funcionários</t>
  </si>
  <si>
    <t>Quantidade de postos</t>
  </si>
  <si>
    <t>Vale Transporte</t>
  </si>
  <si>
    <t>Total Área Existente M²</t>
  </si>
  <si>
    <t>SR/RO</t>
  </si>
  <si>
    <t>1.1 Piso Frio</t>
  </si>
  <si>
    <t>1.2 Banheiros</t>
  </si>
  <si>
    <t>1.3 Laboratório</t>
  </si>
  <si>
    <t>1.4 Almoxarifado/galpão</t>
  </si>
  <si>
    <t>1.5 Espaços livres (TELECENTRO, AUDITORIO, etc.)</t>
  </si>
  <si>
    <t>2.1 Piso Pavimentado</t>
  </si>
  <si>
    <t>2.2 Varrição de passeios e arruamentos (estacionamentos, inclusive garagens cobertas, etc)</t>
  </si>
  <si>
    <t>2.3 Pátios e áreas verdes – ALTA frequência</t>
  </si>
  <si>
    <t>2.4 Pátios e áreas verdes – MÉDIA frequência (QUINZENAL)</t>
  </si>
  <si>
    <t>EI E EE</t>
  </si>
  <si>
    <t>2.5 Pátios e áreas verdes – BAIXA frequência</t>
  </si>
  <si>
    <t>2.6 Campo de futebol (gramado)</t>
  </si>
  <si>
    <t>2.7 Coleta de detritos em pátios e áreas verdes com FREQUENCIA DIÁRIA</t>
  </si>
  <si>
    <t>EI</t>
  </si>
  <si>
    <t>3.1 Esquadrias internas</t>
  </si>
  <si>
    <t>EE</t>
  </si>
  <si>
    <t>GISE/PVH</t>
  </si>
  <si>
    <t>1.2 Almoxarifado/galpão</t>
  </si>
  <si>
    <t>1.3 Banheiros</t>
  </si>
  <si>
    <t>2.3 Pátios e áreas verdes – BAIXA frequência</t>
  </si>
  <si>
    <t>3.1 Esquadria internas</t>
  </si>
  <si>
    <t>3.2 Esquadrias Externas</t>
  </si>
  <si>
    <t>DPF/GMI</t>
  </si>
  <si>
    <t>Total COM e SEM VT</t>
  </si>
  <si>
    <t>1.2 Banheiro</t>
  </si>
  <si>
    <t>1.3 Almoxarifado/galpão</t>
  </si>
  <si>
    <t>1.4 Espaços livres (TELECENTRO, AUDITORIO, etc.)</t>
  </si>
  <si>
    <t>2.3 Pátios e áreas verdes – ALTA frequência (SEMANAL)</t>
  </si>
  <si>
    <t>CRISTAL</t>
  </si>
  <si>
    <t>2.1 Pátios e áreas verdes - QUINZENAL</t>
  </si>
  <si>
    <t>DPF/JPN</t>
  </si>
  <si>
    <t>DPF/VLA</t>
  </si>
  <si>
    <t>2.7 Coleta de detrito em pátios e áreas verdes com FREQUÊNCIA DIÁRIA</t>
  </si>
  <si>
    <t>CONFRON</t>
  </si>
  <si>
    <t>ROOSEVELT</t>
  </si>
  <si>
    <t>=</t>
  </si>
  <si>
    <t>2.1 Varrição de passeios e arruamentos (estacionamentos, inclusive garagens cobertas, etc)</t>
  </si>
  <si>
    <t>DIAMANTE</t>
  </si>
  <si>
    <t>BRADESCO</t>
  </si>
  <si>
    <t>Total</t>
  </si>
  <si>
    <t>DESCRIÇÃO E QUANTIDADE ESTIMADA DE EQUIPAMENTOS DE LIMPEZA</t>
  </si>
  <si>
    <t>SITES ELETRÔNICOS E EMPRESAS                                                  VALORES UNITÁRIOS (R$)</t>
  </si>
  <si>
    <t>VALORES ESTIMADOS (R$)</t>
  </si>
  <si>
    <r>
      <t>V</t>
    </r>
    <r>
      <rPr>
        <b/>
        <sz val="9"/>
        <color rgb="FF000000"/>
        <rFont val="Calibri"/>
        <family val="2"/>
      </rPr>
      <t>ALORES ESTIMADOS</t>
    </r>
    <r>
      <rPr>
        <b/>
        <sz val="9"/>
        <color rgb="FFFF0000"/>
        <rFont val="Calibri"/>
        <family val="2"/>
      </rPr>
      <t xml:space="preserve"> INICIALMENTE</t>
    </r>
  </si>
  <si>
    <t>ESPECIFICAÇÃO</t>
  </si>
  <si>
    <t>TOTAL ANUAL</t>
  </si>
  <si>
    <t>PREÇO MÉDIO UNITÁRIO</t>
  </si>
  <si>
    <t>Aspirador para pós e líquidos, profissional, sem a necessidade de mudar de filtro ou desligar o equipamento, reservatório com capacidade para 20 lts</t>
  </si>
  <si>
    <t>UNIDADE</t>
  </si>
  <si>
    <t>SUBMARINO.COM</t>
  </si>
  <si>
    <t>WALMART.COM</t>
  </si>
  <si>
    <t>FG.COM</t>
  </si>
  <si>
    <t>COMBATE</t>
  </si>
  <si>
    <t>NOVA PROVA</t>
  </si>
  <si>
    <t>HM BALBI</t>
  </si>
  <si>
    <t>Bomba pulverizadora</t>
  </si>
  <si>
    <t>AMERICANAS.COM</t>
  </si>
  <si>
    <t>GWRSHOP.COM</t>
  </si>
  <si>
    <t>Carrinho de carregar material de limpeza, em polipropileno, com rodinhas, suporte com saco de lixo com capacidade para 90 L, aproximadamente, duas bandejas, lugar para colocar balde com espremedor. O carrinho deverá conter os seguintes acessórios: 01 balde espremedor de 30 litros, aproximadamente, com divisão para água limpa e água suja; 01 conjunto Mop líquido (01 cabo em alumínio, 01 haste, 01 refil mop líquido 320g, aproximadamente); 01 pá coletora pop; 01 conjunto Mop Pó (01 cabo em alumínio, 01 armação, 01 refil Mop pó de aproximadamente 60 cm); 01 placa de sinalização para piso molhado. Qualidade igual ou similar a kit funcional América</t>
  </si>
  <si>
    <t>GADOTTICAR.COM</t>
  </si>
  <si>
    <t>LOJADOPROFISSIONAL.COM</t>
  </si>
  <si>
    <t>E-COZINHAS.COM</t>
  </si>
  <si>
    <t>Carrinho de mão com caçamba em polipropileno, estrutura tubular bipartida em aço SAE 1020, Capacidade da caçamba: 90L, Pneu com câmara</t>
  </si>
  <si>
    <t>AGROTAMA.COM</t>
  </si>
  <si>
    <t>LOJADOMECANICO.COM</t>
  </si>
  <si>
    <t>CARRO PARA LEVAR GARRAFÕES DE ÁGUA</t>
  </si>
  <si>
    <t>CARRINHOSNET.COM</t>
  </si>
  <si>
    <t>CARRINHOSINDUSTRIAIS.NET</t>
  </si>
  <si>
    <t>CESTO fechado de 30 litros para escritório</t>
  </si>
  <si>
    <t>SILVALAR.COM</t>
  </si>
  <si>
    <t>MULTIECON.COM</t>
  </si>
  <si>
    <t>CESTO LIXO Gari, com tampa, de 120 lts, roda de 200 mm X 240 A</t>
  </si>
  <si>
    <t>MAGAZINELUIZA.COM</t>
  </si>
  <si>
    <t>BR.MELINTEREST.COM</t>
  </si>
  <si>
    <t>BENZOLIMP.COM</t>
  </si>
  <si>
    <t>CISCADOR leque cabo longo</t>
  </si>
  <si>
    <t>DUTRAMAQUINAS.COM</t>
  </si>
  <si>
    <t>DISPENSADOR P/ COPO 2 TUBOS de 180 ml cada</t>
  </si>
  <si>
    <t>CONTRISUL.COM</t>
  </si>
  <si>
    <t>DISPENSER para álcool gel</t>
  </si>
  <si>
    <t>DISPENSER PARA PAPEL HIGIÊNICO EM ROLO, capacidade para no mínimo rolos de 250 metros</t>
  </si>
  <si>
    <t>DISPENSER para saboneteira, resistente, produzido em material plástico ABS, com sistema autocolante, visor frontal, facilitando o abastecimento do produto, válvula de supervisor, proporcionando correta dosagem e impedindo vazamento, para acondicionamento dos refis</t>
  </si>
  <si>
    <t>DISPENSER para toalha de papel interfolhada, capacidade de no mínimo 1 maço de 250 folhas</t>
  </si>
  <si>
    <t>SHOPFACIL.COM</t>
  </si>
  <si>
    <t>ENCERADEIRA industrial acompanhado de  todos os acessórios</t>
  </si>
  <si>
    <t>TTMAQUINAS.COM</t>
  </si>
  <si>
    <t>ESCADA de aço/alumínio 12 degraus – Tipo cavalete</t>
  </si>
  <si>
    <t>SHOPTIME.COM</t>
  </si>
  <si>
    <t>ESCADA de aço/alumínio 7 degraus – Tipo cavalete</t>
  </si>
  <si>
    <t>ESCADA DOBRÁVEL, material: ferro e aço galvanizado pintado, com cinco degraus, e sapatas antiderrapantes</t>
  </si>
  <si>
    <t>CEC.COM</t>
  </si>
  <si>
    <t>EXTENSÃO ELÉTRICA 50m com tomadas de entrada e saída – 3/2,5mm</t>
  </si>
  <si>
    <t>RRMAQUINAS.COM</t>
  </si>
  <si>
    <t>Lavadora profissional de alta pressão (Vazão: 7 lt/min; Pressão: 1600 libras; Potência do Motor:2000W)</t>
  </si>
  <si>
    <t>LIXEIRA CILINDRICA, plástica, para banheiro, mínimo de 15 lts</t>
  </si>
  <si>
    <t>KALUNGA.COM</t>
  </si>
  <si>
    <t>LIXEIRA, plástica, de 100 lts, com tampa, para área externa</t>
  </si>
  <si>
    <t>MANGUEIRA nylon trançado 3/4”, 100 metros</t>
  </si>
  <si>
    <t>TDAFERRAMENTAS.COM</t>
  </si>
  <si>
    <t>CASAAMERICA.COM</t>
  </si>
  <si>
    <t>PLACA DE SINALIZAÇÃO c/ aviso de piso molhado, banheiro fora de uso, não entre, chão úmido e outras indicações necessárias</t>
  </si>
  <si>
    <t>FACÃO</t>
  </si>
  <si>
    <t>FOICE</t>
  </si>
  <si>
    <t>ENXADA</t>
  </si>
  <si>
    <t>PÁ TIPO PEDREIRO/COLHER</t>
  </si>
  <si>
    <t>ROÇADEIRA e seus insumos (lamina, FIO DE NYLON, gasolina, lima chata, óleo 2 tempos, etc)</t>
  </si>
  <si>
    <t>TESOURA DE PODA (grande)</t>
  </si>
  <si>
    <t>ESTRELA10.COM</t>
  </si>
  <si>
    <r>
      <rPr>
        <b/>
        <sz val="11"/>
        <color rgb="FFFF0000"/>
        <rFont val="Calibri"/>
        <family val="2"/>
      </rPr>
      <t>(A)</t>
    </r>
    <r>
      <rPr>
        <b/>
        <sz val="11"/>
        <color rgb="FF000000"/>
        <rFont val="Times New Roman1"/>
      </rPr>
      <t xml:space="preserve"> Valor TOTAL Anual dos Equipamentos (R$)</t>
    </r>
  </si>
  <si>
    <r>
      <t xml:space="preserve">(B) </t>
    </r>
    <r>
      <rPr>
        <b/>
        <sz val="11"/>
        <color rgb="FF000000"/>
        <rFont val="Calibri"/>
        <family val="2"/>
      </rPr>
      <t>Custo Anual da Depreciação (</t>
    </r>
    <r>
      <rPr>
        <b/>
        <sz val="11"/>
        <color rgb="FFFF0000"/>
        <rFont val="Times New Roman1"/>
      </rPr>
      <t xml:space="preserve">Cálculo: = (R$ A * 0,9) / (12 * 8) * 12)¹
</t>
    </r>
  </si>
  <si>
    <r>
      <t xml:space="preserve">(C) </t>
    </r>
    <r>
      <rPr>
        <b/>
        <sz val="11"/>
        <color rgb="FF000000"/>
        <rFont val="Calibri"/>
        <family val="2"/>
      </rPr>
      <t xml:space="preserve">Custo MENSAL da Depreciação a ser considerado na planilha de cada posto (R$) </t>
    </r>
    <r>
      <rPr>
        <b/>
        <sz val="11"/>
        <color rgb="FFFF0000"/>
        <rFont val="Times New Roman1"/>
      </rPr>
      <t xml:space="preserve">(Cálculo: = (R$ B / 12 / 24)²
</t>
    </r>
  </si>
  <si>
    <t>¹ No cálculo do custo dos equipamentos, a Administração considerou o valor residual de 10% e vida útil de 08 anos.</t>
  </si>
  <si>
    <t>² 12 é o nº de meses e 24 o nº de serventes estimados.</t>
  </si>
  <si>
    <t>1. Tendo em vista a discrepância com os demais valores pesquisados, foi desconsiderado para o cálculo da média dos ITENS 1 e 3 o valor cotado pela empresa NOVA PROVA, e para os ITENS 3, 10 e 26 os cotados pela empresa HM BALBI.</t>
  </si>
  <si>
    <t>EQUIPAMENTOS/UTENSÍLIOS POR LAVADOR AO ANO</t>
  </si>
  <si>
    <r>
      <t xml:space="preserve">VALORES ESTIMADOS (R$) </t>
    </r>
    <r>
      <rPr>
        <b/>
        <sz val="11"/>
        <color rgb="FFFF0000"/>
        <rFont val="Calibri"/>
        <family val="2"/>
      </rPr>
      <t>INICIALMENTE</t>
    </r>
  </si>
  <si>
    <t>SITES ELETRÔNICOS E EMPRESAS                                                                                                                          VALORES UNITÁRIOS (R$)</t>
  </si>
  <si>
    <t>Aspirador de pó e água profissional, de baixo ruído</t>
  </si>
  <si>
    <t>Compressor com moto-bomba</t>
  </si>
  <si>
    <t>Mangueira de ar de 1/4  com 50 metros</t>
  </si>
  <si>
    <t>CCPPARAFUSOS.COM</t>
  </si>
  <si>
    <t>MAXIFERRAMENTA.COM</t>
  </si>
  <si>
    <t>Mangueira de água  de 3/4 com 100 metros</t>
  </si>
  <si>
    <r>
      <t>(A)</t>
    </r>
    <r>
      <rPr>
        <sz val="11"/>
        <color rgb="FF000000"/>
        <rFont val="Calibri"/>
        <family val="2"/>
      </rPr>
      <t xml:space="preserve"> Valor Total Anual dos equipamentos (R$)</t>
    </r>
  </si>
  <si>
    <t>-</t>
  </si>
  <si>
    <r>
      <t>(B)</t>
    </r>
    <r>
      <rPr>
        <sz val="11"/>
        <color rgb="FF000000"/>
        <rFont val="Calibri"/>
        <family val="2"/>
      </rPr>
      <t xml:space="preserve"> Custo Anual da Depreciação R$ ( </t>
    </r>
    <r>
      <rPr>
        <sz val="11"/>
        <color rgb="FFFF0000"/>
        <rFont val="Times New Roman1"/>
      </rPr>
      <t>Cálculo: = (R$ A * 0,9) / (12 * 8) * 12)¹</t>
    </r>
  </si>
  <si>
    <r>
      <t xml:space="preserve">(C) </t>
    </r>
    <r>
      <rPr>
        <sz val="11"/>
        <color rgb="FF000000"/>
        <rFont val="Calibri"/>
        <family val="2"/>
      </rPr>
      <t xml:space="preserve">Custo MENSAL da depreciação que deverá ser considerado na planilha do Lavador R$ </t>
    </r>
    <r>
      <rPr>
        <sz val="11"/>
        <color rgb="FFFF0000"/>
        <rFont val="Times New Roman1"/>
      </rPr>
      <t>(Cálculo: = (R$ B / 12 / 4)²</t>
    </r>
  </si>
  <si>
    <t>² 12 é o nº de meses e 4 é o nº de postos.</t>
  </si>
  <si>
    <t>OBSERVAÇÕES:</t>
  </si>
  <si>
    <t>1. Considerando a discrepância com os demais valores pesquisados, foi desconsiderado para o cálculo da média do valor estimado para cada ITEM e para os itens 1 e 2 os valores cotados pela empresa HM BALBI.</t>
  </si>
  <si>
    <t>2. Os valores dos itens 1  e 2 orçados pela HM BALBI não foram considerados para o preço médio, pois mostram-se consideravelmente superiores se comparados a outras cotações de preços.</t>
  </si>
  <si>
    <t>PREÇO UNITÁRIO (R$)</t>
  </si>
  <si>
    <r>
      <t>(6)</t>
    </r>
    <r>
      <rPr>
        <sz val="12"/>
        <rFont val="Times New Roman"/>
        <family val="1"/>
      </rPr>
      <t xml:space="preserve"> Vale alimentação/ (mercado) e respectivo desconto, conforme previsto no acordo coletivo da categoria.</t>
    </r>
  </si>
  <si>
    <t>À SUPERINTENDÊNCIA REGIONAL DE POLÍCIA FEDERAL EM RONDÔNIA</t>
  </si>
  <si>
    <t>Senhor(a) Pregoeiro(a)/Agente de Contratação:</t>
  </si>
  <si>
    <t xml:space="preserve">GRUPO 1 </t>
  </si>
  <si>
    <t>PREÇO GLOBAL EM 60 MESES (R$)</t>
  </si>
  <si>
    <t>(localidade e data)</t>
  </si>
  <si>
    <t>Assinatura do representante legal
Nome e CPF</t>
  </si>
  <si>
    <t>Quantidade de Postos</t>
  </si>
  <si>
    <r>
      <t xml:space="preserve">(9) </t>
    </r>
    <r>
      <rPr>
        <sz val="12"/>
        <rFont val="Times New Roman"/>
        <family val="1"/>
      </rPr>
      <t>Quanto ao ISS, informar a alíquota prevista na legislação municipal onde os serviços serão prestados.</t>
    </r>
    <r>
      <rPr>
        <b/>
        <sz val="12"/>
        <rFont val="Times New Roman"/>
        <family val="1"/>
      </rPr>
      <t xml:space="preserve">
</t>
    </r>
  </si>
  <si>
    <r>
      <rPr>
        <b/>
        <sz val="12"/>
        <color rgb="FF000000"/>
        <rFont val="Times New Roman"/>
        <family val="1"/>
      </rPr>
      <t>2.</t>
    </r>
    <r>
      <rPr>
        <sz val="12"/>
        <color rgb="FF000000"/>
        <rFont val="Times New Roman"/>
        <family val="1"/>
      </rPr>
      <t xml:space="preserve"> Não possuir vínculo de natureza técnica, comercial, econômica, financeira, trabalhista ou civil com dirigente do órgão ou entidade contratante ou com agente público que tenha desempenhado função na licitação ou atue na fiscalização ou na gestão do contrato, ou que deles seja cônjuge, companheiro ou parente em linha reta, colateral ou por afinidade, até o terceiro grau.</t>
    </r>
  </si>
  <si>
    <r>
      <rPr>
        <b/>
        <sz val="12"/>
        <color rgb="FF000000"/>
        <rFont val="Times New Roman"/>
        <family val="1"/>
      </rPr>
      <t>4.</t>
    </r>
    <r>
      <rPr>
        <sz val="12"/>
        <color rgb="FF000000"/>
        <rFont val="Times New Roman"/>
        <family val="1"/>
      </rPr>
      <t xml:space="preserve"> Que observaremos os critérios de sustentabilidade aplicados a contratação e previstos na legislação vigente.</t>
    </r>
  </si>
  <si>
    <r>
      <rPr>
        <b/>
        <sz val="12"/>
        <color rgb="FF000000"/>
        <rFont val="Times New Roman"/>
        <family val="1"/>
      </rPr>
      <t>7.</t>
    </r>
    <r>
      <rPr>
        <sz val="12"/>
        <color rgb="FF000000"/>
        <rFont val="Times New Roman"/>
        <family val="1"/>
      </rPr>
      <t xml:space="preserve"> Os pagamentos deverão ser creditados à conta corrente n° ---------- , agência --- -----, Banco -------.</t>
    </r>
  </si>
  <si>
    <r>
      <rPr>
        <b/>
        <sz val="12"/>
        <color rgb="FF000000"/>
        <rFont val="Times New Roman"/>
        <family val="1"/>
      </rPr>
      <t xml:space="preserve">8. </t>
    </r>
    <r>
      <rPr>
        <sz val="12"/>
        <color rgb="FF000000"/>
        <rFont val="Times New Roman"/>
        <family val="1"/>
      </rPr>
      <t>O responsável pela assinatura do Contrato, é o(a) Sr(a) --------------------------------RG nº --------------------------------- CPF nº ------------------------------, endereço -------------------.</t>
    </r>
  </si>
  <si>
    <r>
      <rPr>
        <b/>
        <sz val="12"/>
        <color rgb="FF000000"/>
        <rFont val="Times New Roman"/>
        <family val="1"/>
      </rPr>
      <t>9.</t>
    </r>
    <r>
      <rPr>
        <sz val="12"/>
        <color rgb="FF000000"/>
        <rFont val="Times New Roman"/>
        <family val="1"/>
      </rPr>
      <t> Os contatos poderão ser efetuados através do telefone ----------- e do e-mail---------</t>
    </r>
  </si>
  <si>
    <r>
      <t>(8)</t>
    </r>
    <r>
      <rPr>
        <b/>
        <sz val="12"/>
        <color indexed="16"/>
        <rFont val="Times New Roman"/>
        <family val="1"/>
      </rPr>
      <t xml:space="preserve"> </t>
    </r>
    <r>
      <rPr>
        <sz val="12"/>
        <color indexed="8"/>
        <rFont val="Times New Roman"/>
        <family val="1"/>
      </rPr>
      <t xml:space="preserve">Em cumprimento a jurisprudência do </t>
    </r>
    <r>
      <rPr>
        <b/>
        <sz val="12"/>
        <color indexed="8"/>
        <rFont val="Times New Roman"/>
        <family val="1"/>
      </rPr>
      <t>TCU não deverão ser previstos na planilha de custos os valores referentes a(o): a)</t>
    </r>
    <r>
      <rPr>
        <sz val="12"/>
        <color indexed="8"/>
        <rFont val="Times New Roman"/>
        <family val="1"/>
      </rPr>
      <t xml:space="preserve"> Imposto sobre a Renda da Pessoa Juridica (</t>
    </r>
    <r>
      <rPr>
        <b/>
        <sz val="12"/>
        <color indexed="8"/>
        <rFont val="Times New Roman"/>
        <family val="1"/>
      </rPr>
      <t>IRPJ</t>
    </r>
    <r>
      <rPr>
        <sz val="12"/>
        <color indexed="8"/>
        <rFont val="Times New Roman"/>
        <family val="1"/>
      </rPr>
      <t xml:space="preserve">); </t>
    </r>
    <r>
      <rPr>
        <b/>
        <sz val="12"/>
        <color rgb="FF000000"/>
        <rFont val="Times New Roman"/>
        <family val="1"/>
      </rPr>
      <t>b)</t>
    </r>
    <r>
      <rPr>
        <sz val="12"/>
        <color indexed="8"/>
        <rFont val="Times New Roman"/>
        <family val="1"/>
      </rPr>
      <t xml:space="preserve"> Contribuição Social sobre o Lucro Liquido (</t>
    </r>
    <r>
      <rPr>
        <b/>
        <sz val="12"/>
        <color indexed="8"/>
        <rFont val="Times New Roman"/>
        <family val="1"/>
      </rPr>
      <t xml:space="preserve">CSLL); c) </t>
    </r>
    <r>
      <rPr>
        <sz val="12"/>
        <color rgb="FF000000"/>
        <rFont val="Times New Roman"/>
        <family val="1"/>
      </rPr>
      <t xml:space="preserve">item relativo à reserva técnica; </t>
    </r>
    <r>
      <rPr>
        <b/>
        <sz val="12"/>
        <color indexed="8"/>
        <rFont val="Times New Roman"/>
        <family val="1"/>
      </rPr>
      <t xml:space="preserve">d) </t>
    </r>
    <r>
      <rPr>
        <sz val="12"/>
        <color rgb="FF000000"/>
        <rFont val="Times New Roman"/>
        <family val="1"/>
      </rPr>
      <t xml:space="preserve">item relativo a treinamento/capacitação/reciclagem; </t>
    </r>
    <r>
      <rPr>
        <b/>
        <sz val="12"/>
        <color rgb="FF000000"/>
        <rFont val="Times New Roman"/>
        <family val="1"/>
      </rPr>
      <t xml:space="preserve">e) </t>
    </r>
    <r>
      <rPr>
        <sz val="12"/>
        <color rgb="FF000000"/>
        <rFont val="Times New Roman"/>
        <family val="1"/>
      </rPr>
      <t>item relativo a "Supervisão e Fiscalização´.</t>
    </r>
    <r>
      <rPr>
        <sz val="12"/>
        <color indexed="8"/>
        <rFont val="Times New Roman"/>
        <family val="1"/>
      </rPr>
      <t xml:space="preserve">
</t>
    </r>
  </si>
  <si>
    <r>
      <t xml:space="preserve">(1) </t>
    </r>
    <r>
      <rPr>
        <sz val="12"/>
        <rFont val="Times New Roman"/>
        <family val="1"/>
      </rPr>
      <t>Deverá ser observado o piso salarial da respectiva categoria, firmado em instrumento coletivo de trabalho vigente.</t>
    </r>
  </si>
  <si>
    <r>
      <rPr>
        <b/>
        <sz val="12"/>
        <color rgb="FF000000"/>
        <rFont val="Times New Roman"/>
        <family val="1"/>
      </rPr>
      <t>6.</t>
    </r>
    <r>
      <rPr>
        <sz val="12"/>
        <color rgb="FF000000"/>
        <rFont val="Times New Roman"/>
        <family val="1"/>
      </rPr>
      <t xml:space="preserve"> Esta proposta é válida por no mínimo 90 (noventa) dias, a contar da data estabelecida para a sua apresentação.</t>
    </r>
  </si>
  <si>
    <r>
      <rPr>
        <b/>
        <sz val="12"/>
        <color rgb="FF000000"/>
        <rFont val="Times New Roman"/>
        <family val="1"/>
      </rPr>
      <t>1.</t>
    </r>
    <r>
      <rPr>
        <sz val="12"/>
        <color rgb="FF000000"/>
        <rFont val="Times New Roman"/>
        <family val="1"/>
      </rPr>
      <t xml:space="preserve"> Prestar, sob nossa integral responsabilidade, os serviços objeto do referido Edital de Pregão Eletrônico em referência. Desta forma, o </t>
    </r>
    <r>
      <rPr>
        <b/>
        <sz val="12"/>
        <color rgb="FF000000"/>
        <rFont val="Times New Roman"/>
        <family val="1"/>
      </rPr>
      <t>valor mensal é de R$ _________(___), o valor anual de R$ _________(___) e o valor GLOBAL (total em 60 meses) de R$ _____________________(_____________)</t>
    </r>
    <r>
      <rPr>
        <sz val="12"/>
        <color rgb="FF000000"/>
        <rFont val="Times New Roman"/>
        <family val="1"/>
      </rPr>
      <t>, conforme detalhado abaixo:</t>
    </r>
  </si>
  <si>
    <t>VIGILANTES: PVH</t>
  </si>
  <si>
    <t>DIURNO 12X36</t>
  </si>
  <si>
    <t>NOTURNO 12X36</t>
  </si>
  <si>
    <t>CBO 5173-30</t>
  </si>
  <si>
    <t>VIGILANTE</t>
  </si>
  <si>
    <t>DIURNA 12X36</t>
  </si>
  <si>
    <t>NOTURNA 12X36</t>
  </si>
  <si>
    <t xml:space="preserve">Seguro de vida, invalidez e funeral </t>
  </si>
  <si>
    <t>Valor total por VIGILANTE</t>
  </si>
  <si>
    <t>ESTIMATIVA DE UNIFORME E CUSTOS POR VIGILANTE</t>
  </si>
  <si>
    <t>QDT ANUAL</t>
  </si>
  <si>
    <t>Calça para vigilante, tipo militar em brim, com logotipo da empresa no bolso direito</t>
  </si>
  <si>
    <t>UN.</t>
  </si>
  <si>
    <t>Camisa para vigilante, tipo militar em brim, com logotipo da empresa no bolso direito, manga curta</t>
  </si>
  <si>
    <t>Par de sapatos pretos ou marrom tipo coturno</t>
  </si>
  <si>
    <t>Cinto de nylon</t>
  </si>
  <si>
    <t>Quepe ou boné com emblema</t>
  </si>
  <si>
    <t>Capa de chuva</t>
  </si>
  <si>
    <t>Crachá</t>
  </si>
  <si>
    <t>Par de meias</t>
  </si>
  <si>
    <t>Revólver calibre 38</t>
  </si>
  <si>
    <t>Munição calibre 38</t>
  </si>
  <si>
    <t>Cinto guarnição</t>
  </si>
  <si>
    <t>Colete balístico no tamanho do vigilante</t>
  </si>
  <si>
    <t>Coldre</t>
  </si>
  <si>
    <t>Rádio comunicador (HT) ou “walkie-talkie”</t>
  </si>
  <si>
    <t>Cassetete tipo tonfa</t>
  </si>
  <si>
    <t xml:space="preserve">	Porta cassetete</t>
  </si>
  <si>
    <t xml:space="preserve">	Apito com cordão</t>
  </si>
  <si>
    <t>Lanterna recarregável acima de 12 LEDs</t>
  </si>
  <si>
    <t>Livros de ocorrências</t>
  </si>
  <si>
    <t>Bastão ou outro equipamento próprio para ronda eletrônica e buttons</t>
  </si>
  <si>
    <t xml:space="preserve">Obs. </t>
  </si>
  <si>
    <t>2. Para a vida útil dos equipamentos e materiais tivemos por base as licitações de outros órgãos e o CADTERC/SP.</t>
  </si>
  <si>
    <t>VIGILANTES: GMI-VLA-PBO</t>
  </si>
  <si>
    <t>Guajará-Mirim, Vilhena e Pimenta Bueno/RO</t>
  </si>
  <si>
    <t>DIURNO 44 HORAS</t>
  </si>
  <si>
    <r>
      <t xml:space="preserve">A empresa </t>
    </r>
    <r>
      <rPr>
        <sz val="12"/>
        <color rgb="FFFF0000"/>
        <rFont val="Times New Roman"/>
        <family val="1"/>
      </rPr>
      <t>(NOME DA EMPRESA)</t>
    </r>
    <r>
      <rPr>
        <sz val="12"/>
        <color rgb="FF000000"/>
        <rFont val="Times New Roman"/>
        <family val="1"/>
      </rPr>
      <t xml:space="preserve">, </t>
    </r>
    <r>
      <rPr>
        <sz val="12"/>
        <color rgb="FFFF0000"/>
        <rFont val="Times New Roman"/>
        <family val="1"/>
      </rPr>
      <t>(n° do CNPJ</t>
    </r>
    <r>
      <rPr>
        <sz val="12"/>
        <color rgb="FF000000"/>
        <rFont val="Times New Roman"/>
        <family val="1"/>
      </rPr>
      <t xml:space="preserve">), sediada </t>
    </r>
    <r>
      <rPr>
        <sz val="12"/>
        <color rgb="FFFF0000"/>
        <rFont val="Times New Roman"/>
        <family val="1"/>
      </rPr>
      <t>(endereço completo</t>
    </r>
    <r>
      <rPr>
        <sz val="12"/>
        <color rgb="FF000000"/>
        <rFont val="Times New Roman"/>
        <family val="1"/>
      </rPr>
      <t>), tendo examinado minuciosamente as normas específicas do Pregão Eletrônico nº 0x/2024, conforme as especificações constantes do Termo de Referência, Edital e respectivos anexos, e após tomar conhecimento de todas as condições lá estabelecidas, declara expressamente:</t>
    </r>
  </si>
  <si>
    <t>12X36 DIURNO</t>
  </si>
  <si>
    <t>Guajará-mirim, Vilhena e Pimenta Bueno</t>
  </si>
  <si>
    <r>
      <t>(2)</t>
    </r>
    <r>
      <rPr>
        <sz val="12"/>
        <color rgb="FF000000"/>
        <rFont val="Times New Roman"/>
        <family val="1"/>
      </rPr>
      <t xml:space="preserve"> Deverá incidir </t>
    </r>
    <r>
      <rPr>
        <b/>
        <sz val="12"/>
        <color rgb="FF000000"/>
        <rFont val="Times New Roman"/>
        <family val="1"/>
      </rPr>
      <t>ADICIONAL DE PERICULOSIDADE  de  30%</t>
    </r>
    <r>
      <rPr>
        <sz val="12"/>
        <color rgb="FF000000"/>
        <rFont val="Times New Roman"/>
        <family val="1"/>
      </rPr>
      <t xml:space="preserve">  sobre  o  salário-base  da  categoria  para  todas  as  Unidades  de  Polícia  Federal  contempladas  neste;</t>
    </r>
  </si>
  <si>
    <r>
      <rPr>
        <sz val="11"/>
        <rFont val="Times New Roman"/>
        <family val="1"/>
      </rPr>
      <t>OBJETO:</t>
    </r>
    <r>
      <rPr>
        <b/>
        <sz val="11"/>
        <rFont val="Times New Roman"/>
        <family val="1"/>
      </rPr>
      <t xml:space="preserve"> </t>
    </r>
    <r>
      <rPr>
        <sz val="11"/>
        <rFont val="Times New Roman"/>
        <family val="1"/>
      </rPr>
      <t>Contratação de serviços especializados e continuados de VIGILÂNCIA ARMADA E UNIFORMIZADA, para atender as necessidades da Superintendência Regional de Polícia Federal em Rondônia, bem como de suas unidades Descentralizadas no interior do Estado, nas Delegacias de Polícia Federal em Guajará-Mirim, Ji-Paraná, Vilhena e Pimenta Bueno.</t>
    </r>
  </si>
  <si>
    <t>44 H/S</t>
  </si>
  <si>
    <r>
      <t xml:space="preserve">13º (décimo terceiro) Salário </t>
    </r>
    <r>
      <rPr>
        <b/>
        <sz val="10"/>
        <color rgb="FFFF0000"/>
        <rFont val="Times New Roman"/>
        <family val="1"/>
      </rPr>
      <t>= (1/12)*100</t>
    </r>
  </si>
  <si>
    <r>
      <t xml:space="preserve">Férias e Adicional de Férias  </t>
    </r>
    <r>
      <rPr>
        <b/>
        <sz val="10"/>
        <color rgb="FFFF0000"/>
        <rFont val="Times New Roman"/>
        <family val="1"/>
      </rPr>
      <t>(=((1+1/3)/12)*100 = 11,11 para fins da conta vinculada – 11,18 (2.1.B)  + 0,926 = 12,10) conforme Anexo XII da IN 5/2017</t>
    </r>
  </si>
  <si>
    <r>
      <t>Substituto na cobertura de Férias</t>
    </r>
    <r>
      <rPr>
        <b/>
        <sz val="10"/>
        <color rgb="FFFF0000"/>
        <rFont val="Times New Roman"/>
        <family val="1"/>
      </rPr>
      <t xml:space="preserve"> =((1+1/3)/12)/12</t>
    </r>
  </si>
  <si>
    <r>
      <t xml:space="preserve">C1-A  PIS </t>
    </r>
    <r>
      <rPr>
        <b/>
        <sz val="10"/>
        <color rgb="FFFF0000"/>
        <rFont val="Times New Roman"/>
        <family val="1"/>
      </rPr>
      <t xml:space="preserve">(depende do regime de tributação)   </t>
    </r>
  </si>
  <si>
    <r>
      <t>C1-B  COFINS</t>
    </r>
    <r>
      <rPr>
        <b/>
        <sz val="10"/>
        <color rgb="FFFF0000"/>
        <rFont val="Times New Roman"/>
        <family val="1"/>
      </rPr>
      <t xml:space="preserve"> (depende do regime de tributação)  </t>
    </r>
  </si>
  <si>
    <r>
      <t xml:space="preserve">C2-A ISS </t>
    </r>
    <r>
      <rPr>
        <b/>
        <sz val="10"/>
        <color rgb="FFFF0000"/>
        <rFont val="Times New Roman"/>
        <family val="1"/>
      </rPr>
      <t xml:space="preserve">(5%)       </t>
    </r>
    <r>
      <rPr>
        <b/>
        <sz val="10"/>
        <color rgb="FF000000"/>
        <rFont val="Times New Roman"/>
        <family val="1"/>
      </rPr>
      <t xml:space="preserve">   </t>
    </r>
  </si>
  <si>
    <r>
      <t xml:space="preserve">C.3 - Outros </t>
    </r>
    <r>
      <rPr>
        <b/>
        <sz val="10"/>
        <color rgb="FFFF0000"/>
        <rFont val="Times New Roman"/>
        <family val="1"/>
      </rPr>
      <t xml:space="preserve">(ex. CPRB)      </t>
    </r>
    <r>
      <rPr>
        <b/>
        <sz val="10"/>
        <color rgb="FF000000"/>
        <rFont val="Times New Roman"/>
        <family val="1"/>
      </rPr>
      <t xml:space="preserve">      </t>
    </r>
  </si>
  <si>
    <r>
      <t>Adicional de Noturno</t>
    </r>
    <r>
      <rPr>
        <b/>
        <sz val="10"/>
        <color rgb="FFFF0000"/>
        <rFont val="Times New Roman"/>
        <family val="1"/>
      </rPr>
      <t xml:space="preserve"> (Cláusula 4ª CCT 2024)</t>
    </r>
  </si>
  <si>
    <r>
      <t xml:space="preserve">Salário-Base = salário mínimo oficial vigente </t>
    </r>
    <r>
      <rPr>
        <b/>
        <sz val="10"/>
        <color rgb="FFFF0000"/>
        <rFont val="Times New Roman"/>
        <family val="1"/>
      </rPr>
      <t>(valor para 1 vigilante)</t>
    </r>
  </si>
  <si>
    <r>
      <t xml:space="preserve">Transporte </t>
    </r>
    <r>
      <rPr>
        <b/>
        <sz val="10"/>
        <color rgb="FFFF0000"/>
        <rFont val="Times New Roman"/>
        <family val="1"/>
      </rPr>
      <t>= (dias x nº vales x VT) – ((SB/2)*6%)</t>
    </r>
  </si>
  <si>
    <t>Substituto na cobertura de Licença-Paternidade</t>
  </si>
  <si>
    <t>Substituto na cobertura de Afastamento Maternidade</t>
  </si>
  <si>
    <t xml:space="preserve">Submódulo 4.1 - Ausências Legais </t>
  </si>
  <si>
    <t>Intrajornada</t>
  </si>
  <si>
    <t>Intrajornada - Substituto/Indenização</t>
  </si>
  <si>
    <t>Submódulo 2.2 - Encargos Previdenciários (GPS), Fundo de Garantia por Tempo de Serviço (FGTS) e outras contribuições</t>
  </si>
  <si>
    <r>
      <t xml:space="preserve">Cesta básica </t>
    </r>
    <r>
      <rPr>
        <b/>
        <sz val="10"/>
        <color rgb="FFFF0000"/>
        <rFont val="Times New Roman"/>
        <family val="1"/>
      </rPr>
      <t>((16% x SB)-(1% x SB)/12) (Cláusula 16ª da CCT 2024)</t>
    </r>
  </si>
  <si>
    <r>
      <t>Auxílio-Refeição/Alimentação</t>
    </r>
    <r>
      <rPr>
        <b/>
        <sz val="10"/>
        <color rgb="FFFF0000"/>
        <rFont val="Times New Roman"/>
        <family val="1"/>
      </rPr>
      <t xml:space="preserve"> (n. dias*R$ 41,00) - 1% (clausula 12ª da CCT 2024)</t>
    </r>
  </si>
  <si>
    <r>
      <t xml:space="preserve">Intervalo Intrajornada </t>
    </r>
    <r>
      <rPr>
        <b/>
        <sz val="10"/>
        <color rgb="FFFF0000"/>
        <rFont val="Times New Roman"/>
        <family val="1"/>
      </rPr>
      <t>=((REM/220)*1,5*dias)</t>
    </r>
  </si>
  <si>
    <t>VALOR TOTAL por POSTO (2 vigilantes)</t>
  </si>
  <si>
    <r>
      <t>VALOR TOTAL PARA 60 MESES</t>
    </r>
    <r>
      <rPr>
        <b/>
        <sz val="11"/>
        <color rgb="FFFF0000"/>
        <rFont val="Times New Roman"/>
        <family val="1"/>
      </rPr>
      <t xml:space="preserve"> (A)</t>
    </r>
  </si>
  <si>
    <r>
      <t xml:space="preserve">QDT POR POSTO </t>
    </r>
    <r>
      <rPr>
        <b/>
        <sz val="11"/>
        <color rgb="FFFF0000"/>
        <rFont val="Times New Roman"/>
        <family val="1"/>
      </rPr>
      <t>(A)</t>
    </r>
  </si>
  <si>
    <r>
      <t xml:space="preserve">VIDA ÚTIL (meses)   </t>
    </r>
    <r>
      <rPr>
        <b/>
        <sz val="11"/>
        <color rgb="FFFF0000"/>
        <rFont val="Times New Roman"/>
        <family val="1"/>
      </rPr>
      <t xml:space="preserve">  (C)</t>
    </r>
  </si>
  <si>
    <t>3. Para o cálculo dividimos o custo unitário pela vida útil e multiplicamos pela quantidade prevista no posto, obtendo assim, o custo mensal do posto e no caso da jornada 12x36 divide-se por 2.</t>
  </si>
  <si>
    <t>EPIs e materiais</t>
  </si>
  <si>
    <t>VIGILANTES: JPN</t>
  </si>
  <si>
    <t>JI-PARANÁ/RO</t>
  </si>
  <si>
    <t xml:space="preserve">VALOR DA CONTRATAÇÃO </t>
  </si>
  <si>
    <t>Subtotal PVH</t>
  </si>
  <si>
    <t>Subtotal JPN</t>
  </si>
  <si>
    <t>TIPO</t>
  </si>
  <si>
    <t>Serviços de vigilância armada na SR/PF/RO - POSTO 12X36 DIURNO</t>
  </si>
  <si>
    <t>Serviços de vigilância armada na SR/PF/RO - POSTO 12X36 NOTURNO</t>
  </si>
  <si>
    <t>Serviços de vigilância armada na SR/PF/RO - POSTO 44H/S DIURNO</t>
  </si>
  <si>
    <t>Serviços de vigilância armada na DPF/JPN/SR/PF/RO - POSTO 12X36 DIURNO</t>
  </si>
  <si>
    <t>Serviços de vigilância armada na DPF/JPN/SR/PF/RO - POSTO 12X36 NOTURNO</t>
  </si>
  <si>
    <t>Serviços de vigilância armada em GMI, VLA E PBO - POSTO 12X36 DIURNO</t>
  </si>
  <si>
    <t>Serviços de vigilância armada em GMI, VLA E PBO - POSTO 12X36 NOTURNO</t>
  </si>
  <si>
    <t>12X36 NOTURNO</t>
  </si>
  <si>
    <t xml:space="preserve">Guajará-mirim e Vilhena </t>
  </si>
  <si>
    <t>Subtotal GMI, VLA, PBO</t>
  </si>
  <si>
    <t>VALOR MENSAL VIGILANTE POSTO 44h/s</t>
  </si>
  <si>
    <t>VALOR MENSAL VIGILANTE POSTO 12X36</t>
  </si>
  <si>
    <r>
      <t xml:space="preserve">CUSTO (R$)   </t>
    </r>
    <r>
      <rPr>
        <b/>
        <sz val="11"/>
        <color rgb="FFFF0000"/>
        <rFont val="Times New Roman"/>
        <family val="1"/>
      </rPr>
      <t>((AxB)/C)</t>
    </r>
  </si>
  <si>
    <t xml:space="preserve">VALOR MENSAL por POSTO </t>
  </si>
  <si>
    <t>Valor  do POSTO em 60 meses</t>
  </si>
  <si>
    <t>Valor do POSTO em 60 meses</t>
  </si>
  <si>
    <t xml:space="preserve">  Cálculo = (1/30)/12x100. Estimativa de 1 (uma) ausência por ano.</t>
  </si>
  <si>
    <t xml:space="preserve">  Cálculo = 5/30/12*0,015. Estimativa de 1,5% (um inteiro e cinco décimos por cento) dos empregados usufruindo 5 (cinco) dias da licença por ano.</t>
  </si>
  <si>
    <t xml:space="preserve">  Cálculo = 15/30/12*0,08. Estimativa de 1 (uma) licença de 15 (quinze) dias por ano para 8% (oito por cento) dos empregados.</t>
  </si>
  <si>
    <t xml:space="preserve">  Cálculo = 0,1111x0,02x0,333. Estimativa de 2% (dois por cento) dos empregados usufruindo de 4 (quatro) meses de licença por ano.</t>
  </si>
  <si>
    <t xml:space="preserve">  Cálculo = 5/30/12. Estimativa de 5 (cinco) dias de licença p/ano.</t>
  </si>
  <si>
    <t>RAT</t>
  </si>
  <si>
    <t>FAP</t>
  </si>
  <si>
    <t xml:space="preserve">SAT (Seguro acidente de trabalho) </t>
  </si>
  <si>
    <t>2.4</t>
  </si>
  <si>
    <t>Intrajornada - Indenização</t>
  </si>
  <si>
    <t>Submódulo 2.4 - Intrajornada</t>
  </si>
  <si>
    <t xml:space="preserve">BASE DE CÁLCULO PARA O SUBMÓDULO 4.1 </t>
  </si>
  <si>
    <t>VALOR ANUAL (R$)</t>
  </si>
  <si>
    <r>
      <t>VALOR TOTAL MENSAL POR VIGILANTE</t>
    </r>
    <r>
      <rPr>
        <b/>
        <sz val="11"/>
        <color rgb="FFFF0000"/>
        <rFont val="Times New Roman"/>
        <family val="1"/>
      </rPr>
      <t xml:space="preserve"> (A/Nº MESES)</t>
    </r>
  </si>
  <si>
    <t>VIGILÂNCIA ARMADA</t>
  </si>
  <si>
    <t xml:space="preserve">VIGILÂNCIA ARMADA </t>
  </si>
  <si>
    <t xml:space="preserve">Dias trabalhados no mês </t>
  </si>
  <si>
    <t>Nota 1: O intervalo intrajornada tem natureza indenizatória (sem repercussão na remuneração), não constituindo base para encargos trabalhistas.</t>
  </si>
  <si>
    <t>Nota 1:  O intervalo intrajornada tem natureza indenizatória (sem repercussão na remuneração), não constituindo base para encargos trabalhistas.</t>
  </si>
  <si>
    <t xml:space="preserve">ESTIMATIVA DE EQUIPAMENTOS POR POSTO </t>
  </si>
  <si>
    <t>1. Estima-se que a quantidade prevista na tabela acima seja suficiente para suprir um posto.</t>
  </si>
  <si>
    <r>
      <t xml:space="preserve">(3) </t>
    </r>
    <r>
      <rPr>
        <sz val="12"/>
        <color rgb="FF000000"/>
        <rFont val="Times New Roman"/>
        <family val="1"/>
      </rPr>
      <t>Deverão ser preenchidas as planilhas abaixo, as quais deverão ser apresentadas juntamente com a proposta de preços:    
a) Posto de vigilância armada 44 horas semanais com periculosidade e vale transporte (Porto Velho);                                                                  b) Posto de vigilância armada 12x36 DIURNO e NOTURNO com periculosidade e vale transporte (Porto Velho);
c)</t>
    </r>
    <r>
      <rPr>
        <b/>
        <sz val="12"/>
        <color rgb="FF000000"/>
        <rFont val="Times New Roman"/>
        <family val="1"/>
      </rPr>
      <t xml:space="preserve"> </t>
    </r>
    <r>
      <rPr>
        <sz val="12"/>
        <color rgb="FF000000"/>
        <rFont val="Times New Roman"/>
        <family val="1"/>
      </rPr>
      <t xml:space="preserve">Posto de vigilânica armada 12x36 DIURNO e NOTURNO com periculosidade e vale transporte (Ji-Paraná);                                                         
d) Posto de vigilânica armada 12x36 DIURNO e NOTURNO com periculosidade e SEM vale transporte (GMI, Vilhena e Pimenta Bueno);                  e) Planinha de custos dos uniformes (constar o valor unitário);                                                                                                                                         f) Planilha de custos EPIS e materiais (constar o valor unitário).                                                                                                                                                                                                                    
</t>
    </r>
  </si>
  <si>
    <r>
      <t>(4)</t>
    </r>
    <r>
      <rPr>
        <sz val="12"/>
        <color rgb="FF000000"/>
        <rFont val="Times New Roman"/>
        <family val="1"/>
      </rPr>
      <t xml:space="preserve"> Para o campo do SAT deverá ser considerada a alíquota de 1%, 2% ou 3% referente ao grau de risco de acidente de trabalho incidente sobre o FAP aplicado para a licitante. Tratando-se de empresa optante do simples, cuja alíquota do RAT na GFIP seja 0 (zero), a licitante deverá considerar para definição do RAT que constará de sua planilha de custos e formação de  preços,  o  correspondente  a  atividade  preponderante  da  empresa - RAT do CNAE preponderante, para fins de retenção para a conta vinculada;</t>
    </r>
  </si>
  <si>
    <r>
      <t>(5)</t>
    </r>
    <r>
      <rPr>
        <sz val="12"/>
        <rFont val="Times New Roman"/>
        <family val="1"/>
      </rPr>
      <t xml:space="preserve"> Para o cálculo do auxílio transporte poderá considerar:                                                                                                                                        a)15,21 dias de trabalho/mês para jornada de 12x36 horas;                                                                                                                                          b) 21 dias de trabalho/mês, jornada de 44 horas semanais;                                                                                                                                            c) Informar o valor da passagem praticada nos munícipios de Porto Velho e Ji-Paraná. No caso de Porto Velho considerar a tarifa COM CARD quando utilizada                                                                                                                                                                                                                                                              </t>
    </r>
  </si>
  <si>
    <r>
      <t xml:space="preserve">(7) </t>
    </r>
    <r>
      <rPr>
        <sz val="12"/>
        <color rgb="FF000000"/>
        <rFont val="Times New Roman"/>
        <family val="1"/>
      </rPr>
      <t xml:space="preserve">Considerando que há previsão de retenção mensal de valores para a conta vinculada, conforme previsto na IN 05/2017 SLTI/MP deverão ser considerados os percentuais a seguir indicados:                                                                                                                                                                                                                           </t>
    </r>
    <r>
      <rPr>
        <b/>
        <sz val="12"/>
        <color rgb="FF000000"/>
        <rFont val="Times New Roman"/>
        <family val="1"/>
      </rPr>
      <t>a)</t>
    </r>
    <r>
      <rPr>
        <sz val="12"/>
        <color rgb="FF000000"/>
        <rFont val="Times New Roman"/>
        <family val="1"/>
      </rPr>
      <t xml:space="preserve"> Submódulo 2.1 – letra A -   </t>
    </r>
    <r>
      <rPr>
        <b/>
        <sz val="12"/>
        <color rgb="FF000000"/>
        <rFont val="Times New Roman"/>
        <family val="1"/>
      </rPr>
      <t>8,33%</t>
    </r>
    <r>
      <rPr>
        <sz val="12"/>
        <color rgb="FF000000"/>
        <rFont val="Times New Roman"/>
        <family val="1"/>
      </rPr>
      <t>;</t>
    </r>
    <r>
      <rPr>
        <b/>
        <sz val="12"/>
        <color rgb="FF000000"/>
        <rFont val="Times New Roman"/>
        <family val="1"/>
      </rPr>
      <t xml:space="preserve"> b)</t>
    </r>
    <r>
      <rPr>
        <sz val="12"/>
        <color rgb="FF000000"/>
        <rFont val="Times New Roman"/>
        <family val="1"/>
      </rPr>
      <t xml:space="preserve"> Submódulo 2.1 – letra B -  </t>
    </r>
    <r>
      <rPr>
        <b/>
        <sz val="12"/>
        <color rgb="FF000000"/>
        <rFont val="Times New Roman"/>
        <family val="1"/>
      </rPr>
      <t>11,18%</t>
    </r>
    <r>
      <rPr>
        <sz val="12"/>
        <color rgb="FF000000"/>
        <rFont val="Times New Roman"/>
        <family val="1"/>
      </rPr>
      <t xml:space="preserve">; </t>
    </r>
    <r>
      <rPr>
        <b/>
        <sz val="12"/>
        <color rgb="FF000000"/>
        <rFont val="Times New Roman"/>
        <family val="1"/>
      </rPr>
      <t>c)</t>
    </r>
    <r>
      <rPr>
        <sz val="12"/>
        <color rgb="FF000000"/>
        <rFont val="Times New Roman"/>
        <family val="1"/>
      </rPr>
      <t xml:space="preserve"> Módulo 3 – letra E - </t>
    </r>
    <r>
      <rPr>
        <b/>
        <sz val="12"/>
        <color rgb="FF000000"/>
        <rFont val="Times New Roman"/>
        <family val="1"/>
      </rPr>
      <t xml:space="preserve"> 4% </t>
    </r>
    <r>
      <rPr>
        <sz val="12"/>
        <color rgb="FF000000"/>
        <rFont val="Times New Roman"/>
        <family val="1"/>
      </rPr>
      <t xml:space="preserve">e </t>
    </r>
    <r>
      <rPr>
        <b/>
        <sz val="12"/>
        <color rgb="FF000000"/>
        <rFont val="Times New Roman"/>
        <family val="1"/>
      </rPr>
      <t xml:space="preserve">d) </t>
    </r>
    <r>
      <rPr>
        <sz val="12"/>
        <color rgb="FF000000"/>
        <rFont val="Times New Roman"/>
        <family val="1"/>
      </rPr>
      <t xml:space="preserve">Submódulo 4.1 - A -  </t>
    </r>
    <r>
      <rPr>
        <b/>
        <sz val="12"/>
        <color rgb="FF000000"/>
        <rFont val="Times New Roman"/>
        <family val="1"/>
      </rPr>
      <t xml:space="preserve">0,926%. </t>
    </r>
  </si>
  <si>
    <r>
      <rPr>
        <b/>
        <sz val="12"/>
        <color rgb="FF000000"/>
        <rFont val="Times New Roman"/>
        <family val="1"/>
      </rPr>
      <t xml:space="preserve">3. </t>
    </r>
    <r>
      <rPr>
        <sz val="12"/>
        <color rgb="FF000000"/>
        <rFont val="Times New Roman"/>
        <family val="1"/>
      </rPr>
      <t xml:space="preserve">Ter pleno conhecimento das condições e peculiaridades inerentes à natureza do serviço, assumindo total responsabilidade por este fato e que não utilizará deste para quaisquer questionamentos futuros que ensejem desavenças técnicas ou financeiras com a contratante. </t>
    </r>
    <r>
      <rPr>
        <sz val="12"/>
        <color rgb="FFFF0000"/>
        <rFont val="Times New Roman"/>
        <family val="1"/>
      </rPr>
      <t>(corresponde a declaração do item 7.9.2 do Edital e, portanto substitui o atestado de vistoria)</t>
    </r>
  </si>
  <si>
    <r>
      <rPr>
        <b/>
        <sz val="12"/>
        <color rgb="FF000000"/>
        <rFont val="Times New Roman"/>
        <family val="1"/>
      </rPr>
      <t>5.</t>
    </r>
    <r>
      <rPr>
        <sz val="12"/>
        <color rgb="FF000000"/>
        <rFont val="Times New Roman"/>
        <family val="1"/>
      </rPr>
      <t xml:space="preserve"> Estamos cientes e aceitamos as condições do Edital do Pregão Eletrônicoem referência, inclusive as fixadas para pagamento.</t>
    </r>
  </si>
  <si>
    <r>
      <rPr>
        <b/>
        <sz val="12"/>
        <color rgb="FF000000"/>
        <rFont val="Times New Roman"/>
        <family val="1"/>
      </rPr>
      <t>10.</t>
    </r>
    <r>
      <rPr>
        <sz val="12"/>
        <color rgb="FF000000"/>
        <rFont val="Times New Roman"/>
        <family val="1"/>
      </rPr>
      <t xml:space="preserve"> Declaramos que os preços contidos nesta proposta compreendem a integralidade de todos os custos e despesas referentes ao objeto da licitação, tais como: custos diretos e indiretos, tributos incidentes, taxa de administração, transporte, mão de obra, encargos sociais, atendimento dos direitos trabalhistas assegurados na Constituição Federal, nas leis trabalhistas, nas normas infralegais, nas convenções coletivas de trabalho e nos termos de ajustamento de conduta vigentes na data de entrega das propostas, seguros, lucro e outros necessários ao cumprimento integral do objeto. </t>
    </r>
    <r>
      <rPr>
        <sz val="12"/>
        <color rgb="FFFF0000"/>
        <rFont val="Times New Roman"/>
        <family val="1"/>
      </rPr>
      <t>(corresponde a declaração do item 7.8 do Edital)</t>
    </r>
  </si>
  <si>
    <r>
      <t xml:space="preserve">Assunto: </t>
    </r>
    <r>
      <rPr>
        <b/>
        <sz val="12"/>
        <color rgb="FF000000"/>
        <rFont val="Times New Roman"/>
        <family val="1"/>
      </rPr>
      <t>PREGÃO ELETRÔNICO Nº  ......./2024 SR/PF/RO</t>
    </r>
  </si>
  <si>
    <r>
      <t xml:space="preserve">VALOR UNITÁRIO (R$) </t>
    </r>
    <r>
      <rPr>
        <b/>
        <sz val="11"/>
        <color rgb="FFFF0000"/>
        <rFont val="Times New Roman"/>
        <family val="1"/>
      </rPr>
      <t>(B)</t>
    </r>
  </si>
  <si>
    <t>VALOR UNITÁRIO (R$)</t>
  </si>
  <si>
    <t xml:space="preserve">PREÇO DO POSTO EM 60 MESES (R$) </t>
  </si>
  <si>
    <t>Valor total dos postos em 60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</si>
</sst>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00000000"/>
    <numFmt numFmtId="165" formatCode="0.0000000"/>
    <numFmt numFmtId="166" formatCode="&quot;R$ &quot;#,##0.00"/>
    <numFmt numFmtId="167" formatCode="0.000%"/>
    <numFmt numFmtId="168" formatCode="[$R$-416]&quot; &quot;#,##0.00"/>
    <numFmt numFmtId="169" formatCode="0.0000000E+00"/>
    <numFmt numFmtId="170" formatCode="0.000000"/>
    <numFmt numFmtId="171" formatCode="#,##0.0000"/>
    <numFmt numFmtId="172" formatCode="#,##0.000000000"/>
    <numFmt numFmtId="173" formatCode="&quot; R$ &quot;#,##0.00&quot; &quot;;&quot;-R$ &quot;#,##0.00&quot; &quot;;&quot; R$ -&quot;#&quot; &quot;;@&quot; &quot;"/>
    <numFmt numFmtId="174" formatCode="#,##0.00&quot; &quot;;&quot;-&quot;#,##0.00&quot; &quot;"/>
    <numFmt numFmtId="175" formatCode="#,##0.00&quot; &quot;;&quot;-&quot;#,##0.00&quot; &quot;;&quot;-&quot;00&quot; &quot;;@&quot; &quot;"/>
    <numFmt numFmtId="176" formatCode="[$R$-416]&quot; &quot;#,##0.00;[Red]&quot;-&quot;[$R$-416]&quot; &quot;#,##0.00"/>
    <numFmt numFmtId="177" formatCode="_(&quot;R$ &quot;* #,##0.00_);_(&quot;R$ &quot;* \(#,##0.00\);_(&quot;R$ &quot;* &quot;-&quot;??_);_(@_)"/>
    <numFmt numFmtId="178" formatCode="0.000"/>
    <numFmt numFmtId="179" formatCode="0.0000"/>
    <numFmt numFmtId="180" formatCode="&quot;R$&quot;\ #,##0.00"/>
  </numFmts>
  <fonts count="82">
    <font>
      <sz val="11"/>
      <color rgb="FF000000"/>
      <name val="Calibri"/>
      <family val="2"/>
    </font>
    <font>
      <sz val="11"/>
      <color rgb="FF000000"/>
      <name val="Calibri"/>
      <family val="2"/>
    </font>
    <font>
      <sz val="11"/>
      <color rgb="FF9C0006"/>
      <name val="Calibri"/>
      <family val="2"/>
    </font>
    <font>
      <sz val="11"/>
      <color rgb="FF006100"/>
      <name val="Calibri"/>
      <family val="2"/>
    </font>
    <font>
      <b/>
      <i/>
      <sz val="16"/>
      <color rgb="FF000000"/>
      <name val="Calibri"/>
      <family val="2"/>
    </font>
    <font>
      <u/>
      <sz val="11"/>
      <color rgb="FF0000FF"/>
      <name val="Calibri"/>
      <family val="2"/>
    </font>
    <font>
      <sz val="12"/>
      <color rgb="FF000000"/>
      <name val="Tahoma"/>
      <family val="2"/>
    </font>
    <font>
      <sz val="11"/>
      <color rgb="FF000000"/>
      <name val="Arial"/>
      <family val="2"/>
    </font>
    <font>
      <b/>
      <i/>
      <u/>
      <sz val="11"/>
      <color rgb="FF000000"/>
      <name val="Calibri"/>
      <family val="2"/>
    </font>
    <font>
      <b/>
      <sz val="14"/>
      <color rgb="FF000000"/>
      <name val="Arial"/>
      <family val="2"/>
    </font>
    <font>
      <sz val="10"/>
      <color rgb="FF000000"/>
      <name val="Times New Roman1"/>
    </font>
    <font>
      <b/>
      <sz val="10"/>
      <color rgb="FF000000"/>
      <name val="Times New Roman1"/>
    </font>
    <font>
      <sz val="11"/>
      <color rgb="FF000000"/>
      <name val="Times New Roman1"/>
    </font>
    <font>
      <b/>
      <sz val="12"/>
      <color rgb="FF000000"/>
      <name val="Times New Roman1"/>
    </font>
    <font>
      <sz val="12"/>
      <color rgb="FF000000"/>
      <name val="Calibri"/>
      <family val="2"/>
    </font>
    <font>
      <b/>
      <sz val="12"/>
      <color rgb="FFFF0000"/>
      <name val="Times New Roman1"/>
    </font>
    <font>
      <sz val="12"/>
      <color rgb="FFFF0000"/>
      <name val="Calibri"/>
      <family val="2"/>
    </font>
    <font>
      <b/>
      <sz val="12"/>
      <color rgb="FF800000"/>
      <name val="Calibri"/>
      <family val="2"/>
    </font>
    <font>
      <b/>
      <sz val="12"/>
      <color rgb="FF000000"/>
      <name val="Calibri"/>
      <family val="2"/>
    </font>
    <font>
      <b/>
      <sz val="9"/>
      <color rgb="FF000000"/>
      <name val="Times New Roman1"/>
    </font>
    <font>
      <sz val="9"/>
      <color rgb="FF000000"/>
      <name val="Times New Roman1"/>
    </font>
    <font>
      <b/>
      <sz val="11"/>
      <color rgb="FF000000"/>
      <name val="Times New Roman1"/>
    </font>
    <font>
      <b/>
      <sz val="16"/>
      <color rgb="FF000000"/>
      <name val="Times New Roman1"/>
    </font>
    <font>
      <sz val="8"/>
      <color rgb="FF000000"/>
      <name val="Times New Roman1"/>
    </font>
    <font>
      <b/>
      <sz val="9"/>
      <color rgb="FFFF0000"/>
      <name val="Calibri"/>
      <family val="2"/>
    </font>
    <font>
      <b/>
      <sz val="9"/>
      <color rgb="FF000000"/>
      <name val="Calibri"/>
      <family val="2"/>
    </font>
    <font>
      <b/>
      <sz val="11"/>
      <color rgb="FF000000"/>
      <name val="Calibri"/>
      <family val="2"/>
    </font>
    <font>
      <b/>
      <sz val="14"/>
      <color rgb="FF000000"/>
      <name val="Courier New"/>
      <family val="3"/>
    </font>
    <font>
      <sz val="11"/>
      <color rgb="FF000000"/>
      <name val="Courier New"/>
      <family val="3"/>
    </font>
    <font>
      <b/>
      <sz val="11"/>
      <color rgb="FF000000"/>
      <name val="Courier New"/>
      <family val="3"/>
    </font>
    <font>
      <sz val="10"/>
      <color rgb="FF000000"/>
      <name val="Courier New"/>
      <family val="3"/>
    </font>
    <font>
      <b/>
      <sz val="10"/>
      <color rgb="FF000000"/>
      <name val="Courier New"/>
      <family val="3"/>
    </font>
    <font>
      <b/>
      <sz val="9"/>
      <color rgb="FF000000"/>
      <name val="Courier New"/>
      <family val="3"/>
    </font>
    <font>
      <sz val="9"/>
      <color rgb="FF000000"/>
      <name val="Courier New"/>
      <family val="3"/>
    </font>
    <font>
      <u/>
      <sz val="9"/>
      <color rgb="FFFF0000"/>
      <name val="Times New Roman1"/>
    </font>
    <font>
      <b/>
      <sz val="11"/>
      <color rgb="FFFF0000"/>
      <name val="Calibri"/>
      <family val="2"/>
    </font>
    <font>
      <b/>
      <u/>
      <sz val="11"/>
      <color rgb="FF000000"/>
      <name val="Times New Roman1"/>
    </font>
    <font>
      <u/>
      <sz val="9"/>
      <color rgb="FF000000"/>
      <name val="Times New Roman1"/>
    </font>
    <font>
      <b/>
      <sz val="11"/>
      <color rgb="FFFF0000"/>
      <name val="Times New Roman1"/>
    </font>
    <font>
      <u/>
      <sz val="11"/>
      <color rgb="FF000000"/>
      <name val="Times New Roman1"/>
    </font>
    <font>
      <b/>
      <u/>
      <sz val="12"/>
      <color rgb="FF000000"/>
      <name val="Times New Roman1"/>
    </font>
    <font>
      <sz val="12"/>
      <color rgb="FFFF0000"/>
      <name val="Times New Roman1"/>
    </font>
    <font>
      <b/>
      <u/>
      <sz val="9"/>
      <color rgb="FFFF0000"/>
      <name val="Times New Roman1"/>
    </font>
    <font>
      <sz val="11"/>
      <color rgb="FFFF0000"/>
      <name val="Times New Roman1"/>
    </font>
    <font>
      <sz val="10"/>
      <name val="Arial"/>
      <family val="2"/>
    </font>
    <font>
      <sz val="10"/>
      <name val="Arial"/>
      <family val="2"/>
    </font>
    <font>
      <b/>
      <sz val="10"/>
      <name val="Times New Roman"/>
      <family val="1"/>
    </font>
    <font>
      <b/>
      <sz val="10"/>
      <color rgb="FF000000"/>
      <name val="Times New Roman"/>
      <family val="1"/>
    </font>
    <font>
      <sz val="10"/>
      <color rgb="FF000000"/>
      <name val="Times New Roman"/>
      <family val="1"/>
    </font>
    <font>
      <b/>
      <sz val="10"/>
      <color theme="1"/>
      <name val="Times New Roman"/>
      <family val="1"/>
    </font>
    <font>
      <b/>
      <sz val="12"/>
      <color rgb="FF000000"/>
      <name val="Times New Roman"/>
      <family val="1"/>
    </font>
    <font>
      <sz val="12"/>
      <color rgb="FF000000"/>
      <name val="Times New Roman"/>
      <family val="1"/>
    </font>
    <font>
      <sz val="10"/>
      <name val="Times New Roman"/>
      <family val="1"/>
    </font>
    <font>
      <b/>
      <sz val="14"/>
      <color theme="0"/>
      <name val="Times New Roman"/>
      <family val="1"/>
    </font>
    <font>
      <sz val="12"/>
      <color theme="1"/>
      <name val="Times New Roman"/>
      <family val="1"/>
    </font>
    <font>
      <b/>
      <sz val="14"/>
      <color rgb="FF000000"/>
      <name val="Times New Roman"/>
      <family val="1"/>
    </font>
    <font>
      <b/>
      <sz val="10"/>
      <color rgb="FF008080"/>
      <name val="Times New Roman"/>
      <family val="1"/>
    </font>
    <font>
      <b/>
      <sz val="12"/>
      <name val="Times New Roman"/>
      <family val="1"/>
    </font>
    <font>
      <sz val="11"/>
      <name val="Arial"/>
      <family val="2"/>
    </font>
    <font>
      <sz val="12"/>
      <name val="Times New Roman"/>
      <family val="1"/>
    </font>
    <font>
      <b/>
      <sz val="12"/>
      <color indexed="8"/>
      <name val="Times New Roman"/>
      <family val="1"/>
    </font>
    <font>
      <sz val="12"/>
      <color indexed="8"/>
      <name val="Times New Roman"/>
      <family val="1"/>
    </font>
    <font>
      <b/>
      <sz val="12"/>
      <color indexed="16"/>
      <name val="Times New Roman"/>
      <family val="1"/>
    </font>
    <font>
      <b/>
      <sz val="11"/>
      <name val="Times New Roman"/>
      <family val="1"/>
    </font>
    <font>
      <sz val="11"/>
      <name val="Times New Roman"/>
      <family val="1"/>
    </font>
    <font>
      <u/>
      <sz val="11"/>
      <name val="Times New Roman"/>
      <family val="1"/>
    </font>
    <font>
      <sz val="11"/>
      <color rgb="FF000000"/>
      <name val="Times New Roman"/>
      <family val="1"/>
    </font>
    <font>
      <b/>
      <u/>
      <sz val="11"/>
      <name val="Times New Roman"/>
      <family val="1"/>
    </font>
    <font>
      <sz val="12"/>
      <color rgb="FFFF0000"/>
      <name val="Times New Roman"/>
      <family val="1"/>
    </font>
    <font>
      <b/>
      <sz val="12"/>
      <color theme="1"/>
      <name val="Times New Roman"/>
      <family val="1"/>
    </font>
    <font>
      <b/>
      <sz val="12"/>
      <color theme="0"/>
      <name val="Times New Roman"/>
      <family val="1"/>
    </font>
    <font>
      <sz val="10"/>
      <color rgb="FFFFFFFF"/>
      <name val="Times New Roman"/>
      <family val="1"/>
    </font>
    <font>
      <b/>
      <sz val="14"/>
      <color theme="1"/>
      <name val="Times New Roman"/>
      <family val="1"/>
    </font>
    <font>
      <sz val="11"/>
      <color rgb="FFFF0000"/>
      <name val="Calibri"/>
      <family val="2"/>
    </font>
    <font>
      <b/>
      <sz val="10"/>
      <color rgb="FFFF0000"/>
      <name val="Times New Roman"/>
      <family val="1"/>
    </font>
    <font>
      <b/>
      <sz val="10"/>
      <color theme="0"/>
      <name val="Times New Roman"/>
      <family val="1"/>
    </font>
    <font>
      <sz val="10"/>
      <color rgb="FF244062"/>
      <name val="Times New Roman"/>
      <family val="1"/>
    </font>
    <font>
      <sz val="10"/>
      <color rgb="FFFF0000"/>
      <name val="Times New Roman"/>
      <family val="1"/>
    </font>
    <font>
      <b/>
      <sz val="11"/>
      <color rgb="FF000000"/>
      <name val="Times New Roman"/>
      <family val="1"/>
    </font>
    <font>
      <b/>
      <sz val="11"/>
      <color rgb="FFFF0000"/>
      <name val="Times New Roman"/>
      <family val="1"/>
    </font>
    <font>
      <b/>
      <sz val="11"/>
      <color theme="1"/>
      <name val="Times New Roman"/>
      <family val="1"/>
    </font>
    <font>
      <sz val="11"/>
      <color theme="1"/>
      <name val="Times New Roman"/>
      <family val="1"/>
    </font>
  </fonts>
  <fills count="63">
    <fill>
      <patternFill patternType="none"/>
    </fill>
    <fill>
      <patternFill patternType="gray125"/>
    </fill>
    <fill>
      <patternFill patternType="solid">
        <fgColor rgb="FFFFC7CE"/>
        <bgColor rgb="FFFFC7CE"/>
      </patternFill>
    </fill>
    <fill>
      <patternFill patternType="solid">
        <fgColor rgb="FFC6EFCE"/>
        <bgColor rgb="FFC6EFCE"/>
      </patternFill>
    </fill>
    <fill>
      <patternFill patternType="solid">
        <fgColor rgb="FFFFFF99"/>
        <bgColor rgb="FFFFFF99"/>
      </patternFill>
    </fill>
    <fill>
      <patternFill patternType="solid">
        <fgColor rgb="FFCCFFFF"/>
        <bgColor rgb="FFCCFFFF"/>
      </patternFill>
    </fill>
    <fill>
      <patternFill patternType="solid">
        <fgColor rgb="FFFFFF00"/>
        <bgColor rgb="FFFFFF00"/>
      </patternFill>
    </fill>
    <fill>
      <patternFill patternType="solid">
        <fgColor rgb="FFD9D9D9"/>
        <bgColor rgb="FFD9D9D9"/>
      </patternFill>
    </fill>
    <fill>
      <patternFill patternType="solid">
        <fgColor rgb="FF000000"/>
        <bgColor rgb="FF000000"/>
      </patternFill>
    </fill>
    <fill>
      <patternFill patternType="solid">
        <fgColor rgb="FFFFFFFF"/>
        <bgColor rgb="FFFFFFFF"/>
      </patternFill>
    </fill>
    <fill>
      <patternFill patternType="solid">
        <fgColor rgb="FFBFBFBF"/>
        <bgColor rgb="FFBFBFBF"/>
      </patternFill>
    </fill>
    <fill>
      <patternFill patternType="solid">
        <fgColor rgb="FFC0C0C0"/>
        <bgColor rgb="FFC0C0C0"/>
      </patternFill>
    </fill>
    <fill>
      <patternFill patternType="solid">
        <fgColor rgb="FF00FF00"/>
        <bgColor rgb="FF00FF00"/>
      </patternFill>
    </fill>
    <fill>
      <patternFill patternType="solid">
        <fgColor rgb="FF00CCFF"/>
        <bgColor rgb="FF00CCFF"/>
      </patternFill>
    </fill>
    <fill>
      <patternFill patternType="solid">
        <fgColor rgb="FFFFCC00"/>
        <bgColor rgb="FFFFCC00"/>
      </patternFill>
    </fill>
    <fill>
      <patternFill patternType="solid">
        <fgColor rgb="FF99CC00"/>
        <bgColor rgb="FF99CC00"/>
      </patternFill>
    </fill>
    <fill>
      <patternFill patternType="solid">
        <fgColor rgb="FF00B0F0"/>
        <bgColor rgb="FF00B0F0"/>
      </patternFill>
    </fill>
    <fill>
      <patternFill patternType="solid">
        <fgColor rgb="FFFCD5B4"/>
        <bgColor rgb="FFFCD5B4"/>
      </patternFill>
    </fill>
    <fill>
      <patternFill patternType="solid">
        <fgColor theme="0" tint="-0.14999847407452621"/>
        <bgColor indexed="64"/>
      </patternFill>
    </fill>
    <fill>
      <patternFill patternType="solid">
        <fgColor theme="0" tint="-0.14999847407452621"/>
        <bgColor rgb="FFD9D9D9"/>
      </patternFill>
    </fill>
    <fill>
      <patternFill patternType="solid">
        <fgColor rgb="FF66FFFF"/>
        <bgColor indexed="64"/>
      </patternFill>
    </fill>
    <fill>
      <patternFill patternType="solid">
        <fgColor theme="1"/>
        <bgColor indexed="64"/>
      </patternFill>
    </fill>
    <fill>
      <patternFill patternType="solid">
        <fgColor theme="4" tint="0.59999389629810485"/>
        <bgColor indexed="64"/>
      </patternFill>
    </fill>
    <fill>
      <patternFill patternType="solid">
        <fgColor theme="4" tint="0.59999389629810485"/>
        <bgColor rgb="FFFFFFFF"/>
      </patternFill>
    </fill>
    <fill>
      <patternFill patternType="solid">
        <fgColor theme="7"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lightGrid">
        <bgColor theme="8" tint="-0.499984740745262"/>
      </patternFill>
    </fill>
    <fill>
      <patternFill patternType="solid">
        <fgColor rgb="FFFF0000"/>
        <bgColor rgb="FFD9D9D9"/>
      </patternFill>
    </fill>
    <fill>
      <patternFill patternType="solid">
        <fgColor rgb="FFFF0000"/>
        <bgColor indexed="64"/>
      </patternFill>
    </fill>
    <fill>
      <patternFill patternType="solid">
        <fgColor theme="8" tint="0.39997558519241921"/>
        <bgColor indexed="64"/>
      </patternFill>
    </fill>
    <fill>
      <patternFill patternType="solid">
        <fgColor theme="0" tint="-0.14999847407452621"/>
        <bgColor rgb="FFFFFFFF"/>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rgb="FF000000"/>
      </patternFill>
    </fill>
    <fill>
      <patternFill patternType="solid">
        <fgColor theme="0"/>
        <bgColor rgb="FFFFFFFF"/>
      </patternFill>
    </fill>
    <fill>
      <patternFill patternType="solid">
        <fgColor theme="8" tint="0.59999389629810485"/>
        <bgColor rgb="FFFFFFFF"/>
      </patternFill>
    </fill>
    <fill>
      <patternFill patternType="solid">
        <fgColor theme="1"/>
        <bgColor rgb="FFFFFF00"/>
      </patternFill>
    </fill>
    <fill>
      <patternFill patternType="solid">
        <fgColor indexed="26"/>
        <bgColor indexed="9"/>
      </patternFill>
    </fill>
    <fill>
      <patternFill patternType="solid">
        <fgColor indexed="31"/>
        <bgColor indexed="44"/>
      </patternFill>
    </fill>
    <fill>
      <patternFill patternType="solid">
        <fgColor indexed="43"/>
        <bgColor indexed="26"/>
      </patternFill>
    </fill>
    <fill>
      <patternFill patternType="solid">
        <fgColor indexed="44"/>
        <bgColor indexed="41"/>
      </patternFill>
    </fill>
    <fill>
      <patternFill patternType="solid">
        <fgColor rgb="FFFFFF99"/>
        <bgColor indexed="64"/>
      </patternFill>
    </fill>
    <fill>
      <patternFill patternType="solid">
        <fgColor rgb="FFFFFF99"/>
        <bgColor indexed="26"/>
      </patternFill>
    </fill>
    <fill>
      <patternFill patternType="solid">
        <fgColor indexed="27"/>
        <bgColor indexed="41"/>
      </patternFill>
    </fill>
    <fill>
      <patternFill patternType="solid">
        <fgColor rgb="FFFFFE9A"/>
        <bgColor rgb="FFFFFFFF"/>
      </patternFill>
    </fill>
    <fill>
      <patternFill patternType="solid">
        <fgColor theme="0"/>
        <bgColor rgb="FFFFFF00"/>
      </patternFill>
    </fill>
    <fill>
      <patternFill patternType="solid">
        <fgColor rgb="FFFCFE9E"/>
        <bgColor indexed="64"/>
      </patternFill>
    </fill>
    <fill>
      <patternFill patternType="solid">
        <fgColor theme="0"/>
        <bgColor rgb="FFFFFF99"/>
      </patternFill>
    </fill>
    <fill>
      <patternFill patternType="solid">
        <fgColor theme="0" tint="-0.14999847407452621"/>
        <bgColor rgb="FFFFFF99"/>
      </patternFill>
    </fill>
    <fill>
      <patternFill patternType="solid">
        <fgColor theme="7" tint="0.59999389629810485"/>
        <bgColor rgb="FFFFFFFF"/>
      </patternFill>
    </fill>
    <fill>
      <patternFill patternType="solid">
        <fgColor rgb="FFD9D9D9"/>
        <bgColor indexed="64"/>
      </patternFill>
    </fill>
    <fill>
      <patternFill patternType="solid">
        <fgColor theme="9" tint="0.79998168889431442"/>
        <bgColor indexed="64"/>
      </patternFill>
    </fill>
    <fill>
      <patternFill patternType="solid">
        <fgColor rgb="FFFCFE9E"/>
        <bgColor rgb="FFFFFFFF"/>
      </patternFill>
    </fill>
    <fill>
      <patternFill patternType="solid">
        <fgColor theme="9" tint="0.79998168889431442"/>
        <bgColor rgb="FFFFFFFF"/>
      </patternFill>
    </fill>
    <fill>
      <patternFill patternType="solid">
        <fgColor theme="7" tint="0.79998168889431442"/>
        <bgColor indexed="64"/>
      </patternFill>
    </fill>
    <fill>
      <patternFill patternType="solid">
        <fgColor rgb="FF66FFFF"/>
        <bgColor rgb="FF000000"/>
      </patternFill>
    </fill>
    <fill>
      <patternFill patternType="solid">
        <fgColor theme="5" tint="0.79998168889431442"/>
        <bgColor indexed="64"/>
      </patternFill>
    </fill>
    <fill>
      <patternFill patternType="solid">
        <fgColor rgb="FFFFFFFF"/>
        <bgColor rgb="FFFFFFCC"/>
      </patternFill>
    </fill>
    <fill>
      <patternFill patternType="solid">
        <fgColor rgb="FFFCFE9E"/>
        <bgColor rgb="FF000000"/>
      </patternFill>
    </fill>
    <fill>
      <patternFill patternType="solid">
        <fgColor theme="8" tint="0.59999389629810485"/>
        <bgColor rgb="FF000000"/>
      </patternFill>
    </fill>
    <fill>
      <patternFill patternType="solid">
        <fgColor theme="8" tint="0.59999389629810485"/>
        <bgColor indexed="64"/>
      </patternFill>
    </fill>
    <fill>
      <patternFill patternType="solid">
        <fgColor theme="9" tint="0.79998168889431442"/>
        <bgColor rgb="FF000000"/>
      </patternFill>
    </fill>
  </fills>
  <borders count="87">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ck">
        <color theme="0"/>
      </top>
      <bottom/>
      <diagonal/>
    </border>
    <border>
      <left/>
      <right style="thick">
        <color theme="0"/>
      </right>
      <top style="thick">
        <color theme="0"/>
      </top>
      <bottom/>
      <diagonal/>
    </border>
    <border>
      <left style="thick">
        <color theme="0"/>
      </left>
      <right style="thick">
        <color theme="0"/>
      </right>
      <top style="thick">
        <color theme="0"/>
      </top>
      <bottom style="thick">
        <color theme="0"/>
      </bottom>
      <diagonal/>
    </border>
    <border>
      <left/>
      <right style="thick">
        <color theme="0"/>
      </right>
      <top/>
      <bottom/>
      <diagonal/>
    </border>
    <border>
      <left style="thick">
        <color theme="0"/>
      </left>
      <right/>
      <top style="thick">
        <color theme="0"/>
      </top>
      <bottom/>
      <diagonal/>
    </border>
    <border>
      <left style="thick">
        <color theme="0"/>
      </left>
      <right/>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style="thin">
        <color indexed="64"/>
      </right>
      <top/>
      <bottom/>
      <diagonal/>
    </border>
    <border>
      <left style="thin">
        <color theme="0"/>
      </left>
      <right style="thin">
        <color theme="0"/>
      </right>
      <top style="thin">
        <color theme="0"/>
      </top>
      <bottom/>
      <diagonal/>
    </border>
    <border>
      <left/>
      <right/>
      <top/>
      <bottom style="thin">
        <color theme="0"/>
      </bottom>
      <diagonal/>
    </border>
    <border>
      <left style="thin">
        <color theme="1"/>
      </left>
      <right/>
      <top/>
      <bottom style="thin">
        <color theme="1"/>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style="hair">
        <color indexed="8"/>
      </right>
      <top/>
      <bottom style="hair">
        <color indexed="8"/>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theme="1"/>
      </right>
      <top style="thin">
        <color theme="1"/>
      </top>
      <bottom style="thin">
        <color theme="1"/>
      </bottom>
      <diagonal/>
    </border>
    <border>
      <left style="thin">
        <color theme="0"/>
      </left>
      <right/>
      <top style="thin">
        <color theme="0"/>
      </top>
      <bottom/>
      <diagonal/>
    </border>
    <border>
      <left style="thin">
        <color theme="1"/>
      </left>
      <right style="thin">
        <color theme="1"/>
      </right>
      <top/>
      <bottom/>
      <diagonal/>
    </border>
    <border>
      <left style="thin">
        <color theme="0"/>
      </left>
      <right style="thin">
        <color theme="0"/>
      </right>
      <top style="thick">
        <color theme="0"/>
      </top>
      <bottom style="thick">
        <color theme="0"/>
      </bottom>
      <diagonal/>
    </border>
    <border>
      <left/>
      <right/>
      <top style="thin">
        <color theme="1"/>
      </top>
      <bottom style="thin">
        <color theme="1"/>
      </bottom>
      <diagonal/>
    </border>
    <border>
      <left style="thin">
        <color theme="0"/>
      </left>
      <right style="thin">
        <color auto="1"/>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auto="1"/>
      </right>
      <top style="thin">
        <color theme="0"/>
      </top>
      <bottom style="thin">
        <color theme="0"/>
      </bottom>
      <diagonal/>
    </border>
    <border>
      <left style="thin">
        <color theme="1"/>
      </left>
      <right/>
      <top style="thin">
        <color theme="1"/>
      </top>
      <bottom style="thin">
        <color theme="1"/>
      </bottom>
      <diagonal/>
    </border>
    <border>
      <left style="thin">
        <color auto="1"/>
      </left>
      <right/>
      <top/>
      <bottom/>
      <diagonal/>
    </border>
    <border>
      <left style="thin">
        <color theme="1"/>
      </left>
      <right/>
      <top/>
      <bottom/>
      <diagonal/>
    </border>
    <border>
      <left/>
      <right/>
      <top style="thick">
        <color theme="0"/>
      </top>
      <bottom style="thick">
        <color theme="0"/>
      </bottom>
      <diagonal/>
    </border>
    <border>
      <left style="thin">
        <color theme="1"/>
      </left>
      <right style="thin">
        <color theme="1"/>
      </right>
      <top style="thin">
        <color theme="1"/>
      </top>
      <bottom/>
      <diagonal/>
    </border>
    <border>
      <left/>
      <right/>
      <top style="thin">
        <color theme="1"/>
      </top>
      <bottom/>
      <diagonal/>
    </border>
    <border>
      <left style="medium">
        <color theme="0"/>
      </left>
      <right style="medium">
        <color theme="0"/>
      </right>
      <top style="medium">
        <color theme="0"/>
      </top>
      <bottom/>
      <diagonal/>
    </border>
    <border>
      <left style="thin">
        <color rgb="FF000000"/>
      </left>
      <right/>
      <top/>
      <bottom style="thin">
        <color rgb="FF000000"/>
      </bottom>
      <diagonal/>
    </border>
    <border>
      <left/>
      <right/>
      <top/>
      <bottom style="thin">
        <color rgb="FF000000"/>
      </bottom>
      <diagonal/>
    </border>
    <border>
      <left style="thin">
        <color auto="1"/>
      </left>
      <right style="thin">
        <color theme="0"/>
      </right>
      <top/>
      <bottom style="thin">
        <color theme="0"/>
      </bottom>
      <diagonal/>
    </border>
    <border>
      <left style="thick">
        <color theme="0"/>
      </left>
      <right style="thick">
        <color theme="0"/>
      </right>
      <top style="thick">
        <color theme="0"/>
      </top>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indexed="64"/>
      </bottom>
      <diagonal/>
    </border>
    <border>
      <left style="thin">
        <color theme="1"/>
      </left>
      <right style="thin">
        <color theme="1"/>
      </right>
      <top style="thin">
        <color auto="1"/>
      </top>
      <bottom style="thin">
        <color auto="1"/>
      </bottom>
      <diagonal/>
    </border>
    <border>
      <left style="thin">
        <color theme="1"/>
      </left>
      <right style="thin">
        <color theme="1"/>
      </right>
      <top style="thin">
        <color indexed="64"/>
      </top>
      <bottom/>
      <diagonal/>
    </border>
    <border>
      <left style="thin">
        <color theme="1"/>
      </left>
      <right style="thin">
        <color theme="1"/>
      </right>
      <top style="thick">
        <color theme="0"/>
      </top>
      <bottom style="thick">
        <color theme="0"/>
      </bottom>
      <diagonal/>
    </border>
    <border>
      <left style="thin">
        <color theme="1"/>
      </left>
      <right style="thin">
        <color theme="1"/>
      </right>
      <top style="thick">
        <color theme="0"/>
      </top>
      <bottom/>
      <diagonal/>
    </border>
    <border>
      <left style="medium">
        <color theme="0"/>
      </left>
      <right style="medium">
        <color theme="0"/>
      </right>
      <top/>
      <bottom/>
      <diagonal/>
    </border>
    <border>
      <left style="thin">
        <color theme="1"/>
      </left>
      <right style="thin">
        <color theme="1"/>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0"/>
      </left>
      <right style="thin">
        <color theme="0"/>
      </right>
      <top style="thick">
        <color theme="0"/>
      </top>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s>
  <cellStyleXfs count="29">
    <xf numFmtId="0" fontId="0" fillId="0" borderId="0"/>
    <xf numFmtId="175" fontId="1" fillId="0" borderId="0" applyFont="0" applyBorder="0" applyProtection="0"/>
    <xf numFmtId="173" fontId="1" fillId="0" borderId="0" applyFont="0" applyBorder="0" applyProtection="0"/>
    <xf numFmtId="9" fontId="1" fillId="0" borderId="0" applyFont="0" applyBorder="0" applyProtection="0"/>
    <xf numFmtId="0" fontId="2" fillId="2" borderId="0" applyNumberFormat="0" applyBorder="0" applyProtection="0"/>
    <xf numFmtId="0" fontId="2" fillId="2" borderId="0" applyNumberFormat="0" applyBorder="0" applyAlignment="0" applyProtection="0"/>
    <xf numFmtId="0" fontId="3" fillId="3"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3" fillId="3" borderId="0" applyNumberFormat="0" applyBorder="0" applyProtection="0"/>
    <xf numFmtId="0" fontId="2" fillId="2" borderId="0" applyNumberFormat="0" applyBorder="0" applyProtection="0"/>
    <xf numFmtId="0" fontId="2" fillId="2" borderId="0" applyNumberFormat="0" applyBorder="0" applyAlignment="0" applyProtection="0"/>
    <xf numFmtId="0" fontId="3" fillId="3"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4" fillId="0" borderId="0" applyNumberFormat="0" applyBorder="0" applyProtection="0">
      <alignment horizontal="center"/>
    </xf>
    <xf numFmtId="0" fontId="4" fillId="0" borderId="0" applyNumberFormat="0" applyBorder="0" applyProtection="0">
      <alignment horizontal="center" textRotation="90"/>
    </xf>
    <xf numFmtId="0" fontId="5" fillId="0" borderId="0" applyNumberFormat="0" applyBorder="0" applyProtection="0"/>
    <xf numFmtId="0" fontId="6" fillId="0" borderId="1" applyNumberFormat="0" applyProtection="0">
      <alignment vertical="center" wrapText="1"/>
    </xf>
    <xf numFmtId="49" fontId="7" fillId="0" borderId="1" applyProtection="0">
      <alignment horizontal="left" vertical="center" wrapText="1"/>
    </xf>
    <xf numFmtId="0" fontId="8" fillId="0" borderId="0" applyNumberFormat="0" applyBorder="0" applyProtection="0"/>
    <xf numFmtId="176" fontId="8" fillId="0" borderId="0" applyBorder="0" applyProtection="0"/>
    <xf numFmtId="0" fontId="9" fillId="4" borderId="1" applyNumberFormat="0">
      <alignment horizontal="center" vertical="center"/>
      <protection locked="0"/>
    </xf>
    <xf numFmtId="0" fontId="44" fillId="0" borderId="0"/>
    <xf numFmtId="177" fontId="45" fillId="0" borderId="0" applyFont="0" applyFill="0" applyBorder="0" applyAlignment="0" applyProtection="0"/>
    <xf numFmtId="0" fontId="45" fillId="0" borderId="0"/>
    <xf numFmtId="9" fontId="1" fillId="0" borderId="0"/>
  </cellStyleXfs>
  <cellXfs count="801">
    <xf numFmtId="0" fontId="0" fillId="0" borderId="0" xfId="0"/>
    <xf numFmtId="0" fontId="13" fillId="5" borderId="1" xfId="0" applyFont="1" applyFill="1" applyBorder="1" applyAlignment="1">
      <alignment horizontal="center" vertical="center" wrapText="1"/>
    </xf>
    <xf numFmtId="0" fontId="7" fillId="0" borderId="0" xfId="0" applyFont="1" applyAlignment="1">
      <alignment vertical="center"/>
    </xf>
    <xf numFmtId="0" fontId="13" fillId="0" borderId="1" xfId="0" applyFont="1" applyBorder="1" applyAlignment="1">
      <alignment horizontal="justify" vertical="top"/>
    </xf>
    <xf numFmtId="0" fontId="0" fillId="0" borderId="0" xfId="0" applyAlignment="1">
      <alignment vertical="center"/>
    </xf>
    <xf numFmtId="0" fontId="13" fillId="0" borderId="1" xfId="0" applyFont="1" applyBorder="1" applyAlignment="1">
      <alignment horizontal="justify" vertical="top" wrapText="1"/>
    </xf>
    <xf numFmtId="0" fontId="15" fillId="0" borderId="1" xfId="0" applyFont="1" applyBorder="1" applyAlignment="1">
      <alignment horizontal="justify" vertical="top" wrapText="1"/>
    </xf>
    <xf numFmtId="0" fontId="13" fillId="0" borderId="1" xfId="0" applyFont="1" applyBorder="1" applyAlignment="1">
      <alignment wrapText="1"/>
    </xf>
    <xf numFmtId="0" fontId="12" fillId="0" borderId="0" xfId="0" applyFont="1"/>
    <xf numFmtId="0" fontId="19" fillId="7" borderId="1" xfId="0" applyFont="1" applyFill="1" applyBorder="1" applyAlignment="1">
      <alignment horizontal="center" vertical="center" wrapText="1"/>
    </xf>
    <xf numFmtId="0" fontId="20" fillId="0" borderId="0" xfId="0" applyFont="1"/>
    <xf numFmtId="0" fontId="19" fillId="6" borderId="1" xfId="0" applyFont="1" applyFill="1" applyBorder="1" applyAlignment="1">
      <alignment horizontal="center" vertical="top" wrapText="1"/>
    </xf>
    <xf numFmtId="0" fontId="19" fillId="10" borderId="3" xfId="0" applyFont="1" applyFill="1" applyBorder="1" applyAlignment="1">
      <alignment horizontal="center" vertical="top" wrapText="1"/>
    </xf>
    <xf numFmtId="0" fontId="10" fillId="0" borderId="0" xfId="0" applyFont="1"/>
    <xf numFmtId="0" fontId="28" fillId="0" borderId="0" xfId="0" applyFont="1" applyAlignment="1">
      <alignment horizontal="center" vertical="top"/>
    </xf>
    <xf numFmtId="0" fontId="29" fillId="11" borderId="1" xfId="0" applyFont="1" applyFill="1" applyBorder="1" applyAlignment="1">
      <alignment horizontal="center" vertical="center"/>
    </xf>
    <xf numFmtId="0" fontId="29" fillId="11" borderId="1" xfId="0" applyFont="1" applyFill="1" applyBorder="1" applyAlignment="1">
      <alignment horizontal="center" vertical="center" wrapText="1"/>
    </xf>
    <xf numFmtId="4" fontId="29" fillId="11" borderId="1" xfId="0" applyNumberFormat="1" applyFont="1" applyFill="1" applyBorder="1" applyAlignment="1">
      <alignment horizontal="center" vertical="center" wrapText="1"/>
    </xf>
    <xf numFmtId="0" fontId="28" fillId="9" borderId="1" xfId="0" applyFont="1" applyFill="1" applyBorder="1" applyAlignment="1">
      <alignment horizontal="center" vertical="center" wrapText="1"/>
    </xf>
    <xf numFmtId="0" fontId="28" fillId="9" borderId="1" xfId="0" applyFont="1" applyFill="1" applyBorder="1" applyAlignment="1">
      <alignment horizontal="center" vertical="top"/>
    </xf>
    <xf numFmtId="0" fontId="30" fillId="9" borderId="1" xfId="0" applyFont="1" applyFill="1" applyBorder="1" applyAlignment="1">
      <alignment horizontal="justify" vertical="top" wrapText="1"/>
    </xf>
    <xf numFmtId="0" fontId="28" fillId="9" borderId="1" xfId="0" applyFont="1" applyFill="1" applyBorder="1" applyAlignment="1">
      <alignment horizontal="center" vertical="top" wrapText="1"/>
    </xf>
    <xf numFmtId="4" fontId="28" fillId="12" borderId="1" xfId="0" applyNumberFormat="1" applyFont="1" applyFill="1" applyBorder="1" applyAlignment="1">
      <alignment horizontal="center" vertical="top"/>
    </xf>
    <xf numFmtId="4" fontId="28" fillId="9" borderId="1" xfId="2" applyNumberFormat="1" applyFont="1" applyFill="1" applyBorder="1" applyAlignment="1">
      <alignment vertical="top"/>
    </xf>
    <xf numFmtId="0" fontId="28" fillId="9" borderId="1" xfId="0" applyFont="1" applyFill="1" applyBorder="1" applyAlignment="1">
      <alignment horizontal="center" vertical="center"/>
    </xf>
    <xf numFmtId="0" fontId="30" fillId="9" borderId="1" xfId="0" applyFont="1" applyFill="1" applyBorder="1" applyAlignment="1">
      <alignment horizontal="justify" vertical="center" wrapText="1"/>
    </xf>
    <xf numFmtId="4" fontId="28" fillId="12" borderId="1" xfId="0" applyNumberFormat="1" applyFont="1" applyFill="1" applyBorder="1" applyAlignment="1">
      <alignment horizontal="center" vertical="center"/>
    </xf>
    <xf numFmtId="4" fontId="28" fillId="9" borderId="1" xfId="2" applyNumberFormat="1" applyFont="1" applyFill="1" applyBorder="1" applyAlignment="1">
      <alignment horizontal="right" vertical="center"/>
    </xf>
    <xf numFmtId="0" fontId="30" fillId="9" borderId="1" xfId="0" applyFont="1" applyFill="1" applyBorder="1" applyAlignment="1">
      <alignment horizontal="justify" vertical="center"/>
    </xf>
    <xf numFmtId="4" fontId="29" fillId="9" borderId="1" xfId="2" applyNumberFormat="1" applyFont="1" applyFill="1" applyBorder="1" applyAlignment="1">
      <alignment horizontal="right" vertical="center"/>
    </xf>
    <xf numFmtId="4" fontId="28" fillId="0" borderId="0" xfId="0" applyNumberFormat="1" applyFont="1" applyAlignment="1">
      <alignment horizontal="center" vertical="top"/>
    </xf>
    <xf numFmtId="4" fontId="28" fillId="13" borderId="8" xfId="2" applyNumberFormat="1" applyFont="1" applyFill="1" applyBorder="1" applyAlignment="1">
      <alignment horizontal="right" vertical="center"/>
    </xf>
    <xf numFmtId="0" fontId="30" fillId="9" borderId="1" xfId="0" applyFont="1" applyFill="1" applyBorder="1" applyAlignment="1">
      <alignment horizontal="center" vertical="center"/>
    </xf>
    <xf numFmtId="0" fontId="30" fillId="9" borderId="1" xfId="0" applyFont="1" applyFill="1" applyBorder="1" applyAlignment="1">
      <alignment horizontal="center" vertical="center" wrapText="1"/>
    </xf>
    <xf numFmtId="4" fontId="30" fillId="9" borderId="1" xfId="2" applyNumberFormat="1" applyFont="1" applyFill="1" applyBorder="1" applyAlignment="1">
      <alignment vertical="center"/>
    </xf>
    <xf numFmtId="4" fontId="31" fillId="9" borderId="1" xfId="0" applyNumberFormat="1" applyFont="1" applyFill="1" applyBorder="1" applyAlignment="1">
      <alignment vertical="top"/>
    </xf>
    <xf numFmtId="4" fontId="30" fillId="13" borderId="1" xfId="0" applyNumberFormat="1" applyFont="1" applyFill="1" applyBorder="1" applyAlignment="1">
      <alignment vertical="top"/>
    </xf>
    <xf numFmtId="0" fontId="32" fillId="13" borderId="1" xfId="0" applyFont="1" applyFill="1" applyBorder="1" applyAlignment="1">
      <alignment horizontal="center" vertical="top" wrapText="1"/>
    </xf>
    <xf numFmtId="0" fontId="32" fillId="13" borderId="8" xfId="0" applyFont="1" applyFill="1" applyBorder="1" applyAlignment="1">
      <alignment horizontal="center" vertical="top" wrapText="1"/>
    </xf>
    <xf numFmtId="0" fontId="33" fillId="13" borderId="4" xfId="0" applyFont="1" applyFill="1" applyBorder="1" applyAlignment="1">
      <alignment horizontal="center" vertical="top" wrapText="1"/>
    </xf>
    <xf numFmtId="0" fontId="33" fillId="0" borderId="0" xfId="0" applyFont="1" applyAlignment="1">
      <alignment vertical="top"/>
    </xf>
    <xf numFmtId="0" fontId="33" fillId="13" borderId="1" xfId="0" applyFont="1" applyFill="1" applyBorder="1" applyAlignment="1">
      <alignment horizontal="center" vertical="top" wrapText="1"/>
    </xf>
    <xf numFmtId="0" fontId="33" fillId="4" borderId="1" xfId="0" applyFont="1" applyFill="1" applyBorder="1" applyAlignment="1">
      <alignment horizontal="center" vertical="top"/>
    </xf>
    <xf numFmtId="0" fontId="33" fillId="4" borderId="8" xfId="0" applyFont="1" applyFill="1" applyBorder="1" applyAlignment="1">
      <alignment horizontal="justify" vertical="top" wrapText="1"/>
    </xf>
    <xf numFmtId="4" fontId="33" fillId="14" borderId="1" xfId="0" applyNumberFormat="1" applyFont="1" applyFill="1" applyBorder="1" applyAlignment="1">
      <alignment horizontal="center" vertical="top"/>
    </xf>
    <xf numFmtId="0" fontId="33" fillId="0" borderId="1" xfId="0" applyFont="1" applyBorder="1" applyAlignment="1">
      <alignment horizontal="center" vertical="top" wrapText="1"/>
    </xf>
    <xf numFmtId="0" fontId="33" fillId="14" borderId="1" xfId="0" applyFont="1" applyFill="1" applyBorder="1" applyAlignment="1">
      <alignment horizontal="center" vertical="top" wrapText="1"/>
    </xf>
    <xf numFmtId="0" fontId="33" fillId="0" borderId="1" xfId="0" applyFont="1" applyBorder="1" applyAlignment="1">
      <alignment horizontal="center" vertical="top"/>
    </xf>
    <xf numFmtId="0" fontId="33" fillId="4" borderId="1" xfId="0" applyFont="1" applyFill="1" applyBorder="1" applyAlignment="1">
      <alignment horizontal="center" vertical="top" wrapText="1"/>
    </xf>
    <xf numFmtId="0" fontId="33" fillId="0" borderId="0" xfId="0" applyFont="1"/>
    <xf numFmtId="4" fontId="33" fillId="0" borderId="1" xfId="0" applyNumberFormat="1" applyFont="1" applyBorder="1" applyAlignment="1">
      <alignment horizontal="center" vertical="top"/>
    </xf>
    <xf numFmtId="3" fontId="33" fillId="4" borderId="1" xfId="0" applyNumberFormat="1" applyFont="1" applyFill="1" applyBorder="1" applyAlignment="1">
      <alignment horizontal="center" vertical="top" wrapText="1"/>
    </xf>
    <xf numFmtId="3" fontId="33" fillId="0" borderId="1" xfId="0" applyNumberFormat="1" applyFont="1" applyBorder="1" applyAlignment="1">
      <alignment horizontal="center" vertical="top" wrapText="1"/>
    </xf>
    <xf numFmtId="4" fontId="33" fillId="0" borderId="0" xfId="0" applyNumberFormat="1" applyFont="1" applyAlignment="1">
      <alignment vertical="top"/>
    </xf>
    <xf numFmtId="0" fontId="33" fillId="4" borderId="8" xfId="0" applyFont="1" applyFill="1" applyBorder="1" applyAlignment="1">
      <alignment vertical="top"/>
    </xf>
    <xf numFmtId="4" fontId="33" fillId="0" borderId="1" xfId="0" applyNumberFormat="1" applyFont="1" applyBorder="1" applyAlignment="1">
      <alignment horizontal="center" vertical="top" wrapText="1"/>
    </xf>
    <xf numFmtId="0" fontId="33" fillId="4" borderId="8" xfId="0" applyFont="1" applyFill="1" applyBorder="1" applyAlignment="1">
      <alignment vertical="top" wrapText="1"/>
    </xf>
    <xf numFmtId="4" fontId="33" fillId="0" borderId="0" xfId="0" applyNumberFormat="1" applyFont="1"/>
    <xf numFmtId="0" fontId="33" fillId="11" borderId="1" xfId="0" applyFont="1" applyFill="1" applyBorder="1" applyAlignment="1">
      <alignment horizontal="center" vertical="top"/>
    </xf>
    <xf numFmtId="0" fontId="33" fillId="11" borderId="1" xfId="0" applyFont="1" applyFill="1" applyBorder="1" applyAlignment="1">
      <alignment horizontal="center" vertical="top" wrapText="1"/>
    </xf>
    <xf numFmtId="4" fontId="33" fillId="11" borderId="1" xfId="0" applyNumberFormat="1" applyFont="1" applyFill="1" applyBorder="1" applyAlignment="1">
      <alignment horizontal="center" vertical="top"/>
    </xf>
    <xf numFmtId="4" fontId="33" fillId="15" borderId="1" xfId="0" applyNumberFormat="1" applyFont="1" applyFill="1" applyBorder="1" applyAlignment="1">
      <alignment horizontal="center" vertical="top"/>
    </xf>
    <xf numFmtId="0" fontId="33" fillId="15" borderId="1" xfId="0" applyFont="1" applyFill="1" applyBorder="1" applyAlignment="1">
      <alignment horizontal="center" vertical="top" wrapText="1"/>
    </xf>
    <xf numFmtId="0" fontId="33" fillId="13" borderId="1" xfId="0" applyFont="1" applyFill="1" applyBorder="1" applyAlignment="1">
      <alignment horizontal="center" vertical="top"/>
    </xf>
    <xf numFmtId="0" fontId="33" fillId="13" borderId="8" xfId="0" applyFont="1" applyFill="1" applyBorder="1" applyAlignment="1">
      <alignment horizontal="justify" vertical="top" wrapText="1"/>
    </xf>
    <xf numFmtId="4" fontId="33" fillId="14" borderId="1" xfId="0" applyNumberFormat="1" applyFont="1" applyFill="1" applyBorder="1" applyAlignment="1">
      <alignment horizontal="center" vertical="top" wrapText="1"/>
    </xf>
    <xf numFmtId="3" fontId="33" fillId="11" borderId="1" xfId="0" applyNumberFormat="1" applyFont="1" applyFill="1" applyBorder="1" applyAlignment="1">
      <alignment horizontal="center" vertical="top" wrapText="1"/>
    </xf>
    <xf numFmtId="0" fontId="33" fillId="13" borderId="6" xfId="0" applyFont="1" applyFill="1" applyBorder="1" applyAlignment="1">
      <alignment horizontal="center" vertical="top" wrapText="1"/>
    </xf>
    <xf numFmtId="0" fontId="33" fillId="13" borderId="8" xfId="0" applyFont="1" applyFill="1" applyBorder="1" applyAlignment="1">
      <alignment vertical="top"/>
    </xf>
    <xf numFmtId="2" fontId="33" fillId="0" borderId="1" xfId="0" applyNumberFormat="1" applyFont="1" applyBorder="1" applyAlignment="1">
      <alignment horizontal="center" vertical="top"/>
    </xf>
    <xf numFmtId="3" fontId="33" fillId="13" borderId="1" xfId="0" applyNumberFormat="1" applyFont="1" applyFill="1" applyBorder="1" applyAlignment="1">
      <alignment horizontal="center" vertical="top" wrapText="1"/>
    </xf>
    <xf numFmtId="0" fontId="33" fillId="11" borderId="3" xfId="0" applyFont="1" applyFill="1" applyBorder="1" applyAlignment="1">
      <alignment horizontal="center" vertical="top"/>
    </xf>
    <xf numFmtId="0" fontId="33" fillId="11" borderId="3" xfId="0" applyFont="1" applyFill="1" applyBorder="1" applyAlignment="1">
      <alignment horizontal="center" vertical="top" wrapText="1"/>
    </xf>
    <xf numFmtId="4" fontId="33" fillId="11" borderId="3" xfId="0" applyNumberFormat="1" applyFont="1" applyFill="1" applyBorder="1" applyAlignment="1">
      <alignment horizontal="center" vertical="top"/>
    </xf>
    <xf numFmtId="4" fontId="33" fillId="13" borderId="1" xfId="0" applyNumberFormat="1" applyFont="1" applyFill="1" applyBorder="1" applyAlignment="1">
      <alignment horizontal="center" vertical="top"/>
    </xf>
    <xf numFmtId="0" fontId="33" fillId="13" borderId="1" xfId="0" applyFont="1" applyFill="1" applyBorder="1" applyAlignment="1">
      <alignment vertical="top"/>
    </xf>
    <xf numFmtId="0" fontId="33" fillId="13" borderId="5" xfId="0" applyFont="1" applyFill="1" applyBorder="1" applyAlignment="1">
      <alignment vertical="top"/>
    </xf>
    <xf numFmtId="0" fontId="33" fillId="13" borderId="2" xfId="0" applyFont="1" applyFill="1" applyBorder="1" applyAlignment="1">
      <alignment horizontal="center" vertical="top"/>
    </xf>
    <xf numFmtId="4" fontId="33" fillId="13" borderId="2" xfId="0" applyNumberFormat="1" applyFont="1" applyFill="1" applyBorder="1" applyAlignment="1">
      <alignment horizontal="center" vertical="top"/>
    </xf>
    <xf numFmtId="2" fontId="33" fillId="14" borderId="1" xfId="0" applyNumberFormat="1" applyFont="1" applyFill="1" applyBorder="1" applyAlignment="1">
      <alignment horizontal="center" vertical="top" wrapText="1"/>
    </xf>
    <xf numFmtId="169" fontId="33" fillId="0" borderId="0" xfId="0" applyNumberFormat="1" applyFont="1" applyAlignment="1">
      <alignment vertical="top"/>
    </xf>
    <xf numFmtId="170" fontId="33" fillId="0" borderId="0" xfId="0" applyNumberFormat="1" applyFont="1" applyAlignment="1">
      <alignment vertical="top"/>
    </xf>
    <xf numFmtId="165" fontId="33" fillId="0" borderId="0" xfId="0" applyNumberFormat="1" applyFont="1" applyAlignment="1">
      <alignment vertical="top"/>
    </xf>
    <xf numFmtId="164" fontId="33" fillId="0" borderId="0" xfId="0" applyNumberFormat="1" applyFont="1" applyAlignment="1">
      <alignment vertical="top"/>
    </xf>
    <xf numFmtId="2" fontId="33" fillId="15" borderId="1" xfId="0" applyNumberFormat="1" applyFont="1" applyFill="1" applyBorder="1" applyAlignment="1">
      <alignment horizontal="center" vertical="top"/>
    </xf>
    <xf numFmtId="0" fontId="33" fillId="13" borderId="10" xfId="0" applyFont="1" applyFill="1" applyBorder="1" applyAlignment="1">
      <alignment horizontal="justify" vertical="top" wrapText="1"/>
    </xf>
    <xf numFmtId="0" fontId="33" fillId="13" borderId="1" xfId="0" applyFont="1" applyFill="1" applyBorder="1" applyAlignment="1">
      <alignment horizontal="justify" vertical="top" wrapText="1"/>
    </xf>
    <xf numFmtId="0" fontId="33" fillId="14" borderId="8" xfId="0" applyFont="1" applyFill="1" applyBorder="1" applyAlignment="1">
      <alignment horizontal="center" vertical="top" wrapText="1"/>
    </xf>
    <xf numFmtId="171" fontId="33" fillId="0" borderId="1" xfId="0" applyNumberFormat="1" applyFont="1" applyBorder="1" applyAlignment="1">
      <alignment horizontal="center" vertical="top" wrapText="1"/>
    </xf>
    <xf numFmtId="172" fontId="33" fillId="13" borderId="1" xfId="0" applyNumberFormat="1" applyFont="1" applyFill="1" applyBorder="1" applyAlignment="1">
      <alignment horizontal="center" vertical="top" wrapText="1"/>
    </xf>
    <xf numFmtId="4" fontId="32" fillId="15" borderId="1" xfId="0" applyNumberFormat="1" applyFont="1" applyFill="1" applyBorder="1" applyAlignment="1">
      <alignment horizontal="center" vertical="top"/>
    </xf>
    <xf numFmtId="0" fontId="33" fillId="15" borderId="1" xfId="0" applyFont="1" applyFill="1" applyBorder="1" applyAlignment="1">
      <alignment horizontal="center" vertical="top"/>
    </xf>
    <xf numFmtId="0" fontId="33" fillId="0" borderId="0" xfId="0" applyFont="1" applyAlignment="1">
      <alignment horizontal="center" vertical="top"/>
    </xf>
    <xf numFmtId="0" fontId="33" fillId="0" borderId="0" xfId="0" applyFont="1" applyAlignment="1">
      <alignment horizontal="center" vertical="top" wrapText="1"/>
    </xf>
    <xf numFmtId="0" fontId="12" fillId="9" borderId="1" xfId="0" applyFont="1" applyFill="1" applyBorder="1" applyAlignment="1">
      <alignment horizontal="center" vertical="center" wrapText="1"/>
    </xf>
    <xf numFmtId="0" fontId="12" fillId="9" borderId="1" xfId="0" applyFont="1" applyFill="1" applyBorder="1" applyAlignment="1">
      <alignment horizontal="center" vertical="center"/>
    </xf>
    <xf numFmtId="4" fontId="21" fillId="6" borderId="1" xfId="2" applyNumberFormat="1" applyFont="1" applyFill="1" applyBorder="1" applyAlignment="1">
      <alignment horizontal="center" vertical="center"/>
    </xf>
    <xf numFmtId="0" fontId="19" fillId="9" borderId="1" xfId="0" applyFont="1" applyFill="1" applyBorder="1" applyAlignment="1">
      <alignment horizontal="center" vertical="top" wrapText="1"/>
    </xf>
    <xf numFmtId="0" fontId="19" fillId="11" borderId="6" xfId="0" applyFont="1" applyFill="1" applyBorder="1" applyAlignment="1">
      <alignment horizontal="center" vertical="top" wrapText="1"/>
    </xf>
    <xf numFmtId="0" fontId="19" fillId="10" borderId="6" xfId="0" applyFont="1" applyFill="1" applyBorder="1" applyAlignment="1">
      <alignment horizontal="center" vertical="top" wrapText="1"/>
    </xf>
    <xf numFmtId="0" fontId="12" fillId="0" borderId="0" xfId="0" applyFont="1" applyAlignment="1">
      <alignment vertical="top"/>
    </xf>
    <xf numFmtId="0" fontId="21" fillId="9" borderId="1" xfId="0" applyFont="1" applyFill="1" applyBorder="1" applyAlignment="1">
      <alignment horizontal="center" vertical="center" wrapText="1"/>
    </xf>
    <xf numFmtId="0" fontId="21" fillId="9" borderId="1" xfId="0" applyFont="1" applyFill="1" applyBorder="1" applyAlignment="1">
      <alignment horizontal="center" vertical="top" wrapText="1"/>
    </xf>
    <xf numFmtId="0" fontId="20" fillId="9" borderId="4" xfId="0" applyFont="1" applyFill="1" applyBorder="1" applyAlignment="1">
      <alignment horizontal="center" vertical="top" wrapText="1"/>
    </xf>
    <xf numFmtId="0" fontId="20" fillId="10" borderId="4" xfId="0" applyFont="1" applyFill="1" applyBorder="1" applyAlignment="1">
      <alignment horizontal="center" vertical="top" wrapText="1"/>
    </xf>
    <xf numFmtId="4" fontId="20" fillId="9" borderId="1" xfId="2" applyNumberFormat="1" applyFont="1" applyFill="1" applyBorder="1" applyAlignment="1">
      <alignment horizontal="center" vertical="center"/>
    </xf>
    <xf numFmtId="4" fontId="20" fillId="9" borderId="4" xfId="0" applyNumberFormat="1" applyFont="1" applyFill="1" applyBorder="1" applyAlignment="1">
      <alignment horizontal="center" vertical="center" wrapText="1"/>
    </xf>
    <xf numFmtId="4" fontId="19" fillId="10" borderId="4" xfId="0" applyNumberFormat="1" applyFont="1" applyFill="1" applyBorder="1" applyAlignment="1">
      <alignment horizontal="center" vertical="center" wrapText="1"/>
    </xf>
    <xf numFmtId="4" fontId="34" fillId="9" borderId="4" xfId="0" applyNumberFormat="1" applyFont="1" applyFill="1" applyBorder="1" applyAlignment="1">
      <alignment horizontal="center" vertical="center" wrapText="1"/>
    </xf>
    <xf numFmtId="0" fontId="21" fillId="7" borderId="1" xfId="0" applyFont="1" applyFill="1" applyBorder="1" applyAlignment="1">
      <alignment horizontal="center" vertical="center" wrapText="1"/>
    </xf>
    <xf numFmtId="0" fontId="12" fillId="7" borderId="1" xfId="0" applyFont="1" applyFill="1" applyBorder="1" applyAlignment="1">
      <alignment horizontal="justify" vertical="center" wrapText="1"/>
    </xf>
    <xf numFmtId="4" fontId="20" fillId="7" borderId="4" xfId="0" applyNumberFormat="1" applyFont="1" applyFill="1" applyBorder="1" applyAlignment="1">
      <alignment horizontal="center" vertical="top" wrapText="1"/>
    </xf>
    <xf numFmtId="4" fontId="19" fillId="10" borderId="4" xfId="0" applyNumberFormat="1" applyFont="1" applyFill="1" applyBorder="1" applyAlignment="1">
      <alignment horizontal="center" vertical="top" wrapText="1"/>
    </xf>
    <xf numFmtId="4" fontId="20" fillId="7" borderId="1" xfId="0" applyNumberFormat="1" applyFont="1" applyFill="1" applyBorder="1" applyAlignment="1">
      <alignment horizontal="center" vertical="center" wrapText="1"/>
    </xf>
    <xf numFmtId="4" fontId="19" fillId="10" borderId="1" xfId="0" applyNumberFormat="1" applyFont="1" applyFill="1" applyBorder="1" applyAlignment="1">
      <alignment horizontal="center" vertical="center" wrapText="1"/>
    </xf>
    <xf numFmtId="4" fontId="20" fillId="9" borderId="4" xfId="0" applyNumberFormat="1" applyFont="1" applyFill="1" applyBorder="1" applyAlignment="1">
      <alignment horizontal="center" vertical="top" wrapText="1"/>
    </xf>
    <xf numFmtId="0" fontId="12" fillId="7" borderId="1" xfId="0" applyFont="1" applyFill="1" applyBorder="1" applyAlignment="1">
      <alignment horizontal="center" vertical="center"/>
    </xf>
    <xf numFmtId="4" fontId="20" fillId="7" borderId="4" xfId="0" applyNumberFormat="1" applyFont="1" applyFill="1" applyBorder="1" applyAlignment="1">
      <alignment horizontal="center" vertical="center" wrapText="1"/>
    </xf>
    <xf numFmtId="4" fontId="34" fillId="7" borderId="1" xfId="0" applyNumberFormat="1" applyFont="1" applyFill="1" applyBorder="1" applyAlignment="1">
      <alignment horizontal="center" vertical="center" wrapText="1"/>
    </xf>
    <xf numFmtId="4" fontId="20" fillId="9" borderId="1" xfId="0" applyNumberFormat="1" applyFont="1" applyFill="1" applyBorder="1" applyAlignment="1">
      <alignment horizontal="center" vertical="center" wrapText="1"/>
    </xf>
    <xf numFmtId="4" fontId="23" fillId="7" borderId="4"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9" fillId="0" borderId="1" xfId="0" applyFont="1" applyBorder="1" applyAlignment="1">
      <alignment horizontal="center" vertical="center" wrapText="1"/>
    </xf>
    <xf numFmtId="4" fontId="36" fillId="17" borderId="1" xfId="2" applyNumberFormat="1" applyFont="1" applyFill="1" applyBorder="1" applyAlignment="1">
      <alignment horizontal="center" vertical="center"/>
    </xf>
    <xf numFmtId="4" fontId="20" fillId="9" borderId="0" xfId="2" applyNumberFormat="1" applyFont="1" applyFill="1" applyAlignment="1">
      <alignment horizontal="center" vertical="center"/>
    </xf>
    <xf numFmtId="4" fontId="37" fillId="17" borderId="1" xfId="2" applyNumberFormat="1" applyFont="1" applyFill="1" applyBorder="1" applyAlignment="1">
      <alignment horizontal="center" vertical="center"/>
    </xf>
    <xf numFmtId="4" fontId="39" fillId="17" borderId="1" xfId="2" applyNumberFormat="1" applyFont="1" applyFill="1" applyBorder="1" applyAlignment="1">
      <alignment horizontal="center" vertical="center"/>
    </xf>
    <xf numFmtId="4" fontId="40" fillId="17" borderId="1" xfId="2" applyNumberFormat="1" applyFont="1" applyFill="1" applyBorder="1" applyAlignment="1">
      <alignment horizontal="center" vertical="center"/>
    </xf>
    <xf numFmtId="0" fontId="10" fillId="0" borderId="9" xfId="0" applyFont="1" applyBorder="1" applyAlignment="1">
      <alignment vertical="top"/>
    </xf>
    <xf numFmtId="0" fontId="10" fillId="9" borderId="0" xfId="0" applyFont="1" applyFill="1" applyAlignment="1">
      <alignment horizontal="left"/>
    </xf>
    <xf numFmtId="0" fontId="10" fillId="0" borderId="0" xfId="0" applyFont="1" applyAlignment="1">
      <alignment horizontal="left"/>
    </xf>
    <xf numFmtId="0" fontId="10" fillId="0" borderId="0" xfId="0" applyFont="1" applyAlignment="1">
      <alignment horizontal="left" wrapText="1"/>
    </xf>
    <xf numFmtId="0" fontId="12" fillId="0" borderId="0" xfId="0" applyFont="1" applyAlignment="1">
      <alignment horizontal="left" wrapText="1"/>
    </xf>
    <xf numFmtId="4" fontId="12" fillId="0" borderId="0" xfId="0" applyNumberFormat="1" applyFont="1" applyAlignment="1">
      <alignment horizontal="left" wrapText="1"/>
    </xf>
    <xf numFmtId="4" fontId="12" fillId="0" borderId="0" xfId="0" applyNumberFormat="1" applyFont="1" applyAlignment="1">
      <alignment horizontal="center" wrapText="1"/>
    </xf>
    <xf numFmtId="0" fontId="10" fillId="9" borderId="0" xfId="0" applyFont="1" applyFill="1" applyAlignment="1">
      <alignment horizontal="left" wrapText="1"/>
    </xf>
    <xf numFmtId="0" fontId="12" fillId="0" borderId="0" xfId="0" applyFont="1" applyAlignment="1">
      <alignment horizontal="justify" vertical="center"/>
    </xf>
    <xf numFmtId="4" fontId="12" fillId="0" borderId="0" xfId="2" applyNumberFormat="1" applyFont="1" applyAlignment="1">
      <alignment horizontal="right"/>
    </xf>
    <xf numFmtId="4" fontId="12" fillId="0" borderId="0" xfId="2" applyNumberFormat="1" applyFont="1" applyAlignment="1">
      <alignment horizontal="center"/>
    </xf>
    <xf numFmtId="0" fontId="0" fillId="9" borderId="0" xfId="0" applyFill="1"/>
    <xf numFmtId="0" fontId="19" fillId="11" borderId="3" xfId="0" applyFont="1" applyFill="1" applyBorder="1" applyAlignment="1">
      <alignment horizontal="center" vertical="top" wrapText="1"/>
    </xf>
    <xf numFmtId="0" fontId="21" fillId="11" borderId="1" xfId="0" applyFont="1" applyFill="1" applyBorder="1" applyAlignment="1">
      <alignment horizontal="center" vertical="top" wrapText="1"/>
    </xf>
    <xf numFmtId="173" fontId="21" fillId="6" borderId="1" xfId="2" applyFont="1" applyFill="1" applyBorder="1" applyAlignment="1">
      <alignment horizontal="center" vertical="top" wrapText="1"/>
    </xf>
    <xf numFmtId="173" fontId="21" fillId="9" borderId="1" xfId="2" applyFont="1" applyFill="1" applyBorder="1" applyAlignment="1">
      <alignment horizontal="center" vertical="top" wrapText="1"/>
    </xf>
    <xf numFmtId="173" fontId="20" fillId="9" borderId="4" xfId="2" applyFont="1" applyFill="1" applyBorder="1" applyAlignment="1">
      <alignment horizontal="center" vertical="top" wrapText="1"/>
    </xf>
    <xf numFmtId="173" fontId="19" fillId="10" borderId="6" xfId="2" applyFont="1" applyFill="1" applyBorder="1" applyAlignment="1">
      <alignment horizontal="center" vertical="top" wrapText="1"/>
    </xf>
    <xf numFmtId="174" fontId="21" fillId="6" borderId="1" xfId="2" applyNumberFormat="1" applyFont="1" applyFill="1" applyBorder="1" applyAlignment="1">
      <alignment horizontal="center" vertical="center" wrapText="1"/>
    </xf>
    <xf numFmtId="174" fontId="21" fillId="9" borderId="1" xfId="2" applyNumberFormat="1" applyFont="1" applyFill="1" applyBorder="1" applyAlignment="1">
      <alignment horizontal="center" vertical="center" wrapText="1"/>
    </xf>
    <xf numFmtId="4" fontId="20" fillId="9" borderId="4" xfId="2" applyNumberFormat="1" applyFont="1" applyFill="1" applyBorder="1" applyAlignment="1">
      <alignment horizontal="center" vertical="center"/>
    </xf>
    <xf numFmtId="174" fontId="20" fillId="9" borderId="4" xfId="2" applyNumberFormat="1" applyFont="1" applyFill="1" applyBorder="1" applyAlignment="1">
      <alignment horizontal="center" vertical="center" wrapText="1"/>
    </xf>
    <xf numFmtId="174" fontId="20" fillId="10" borderId="1" xfId="2" applyNumberFormat="1" applyFont="1" applyFill="1" applyBorder="1" applyAlignment="1">
      <alignment horizontal="center" vertical="center" wrapText="1"/>
    </xf>
    <xf numFmtId="4" fontId="42" fillId="9" borderId="4" xfId="2" applyNumberFormat="1" applyFont="1" applyFill="1" applyBorder="1" applyAlignment="1">
      <alignment horizontal="center" vertical="center"/>
    </xf>
    <xf numFmtId="4" fontId="12" fillId="0" borderId="0" xfId="0" applyNumberFormat="1" applyFont="1"/>
    <xf numFmtId="0" fontId="12" fillId="7" borderId="1" xfId="0" applyFont="1" applyFill="1" applyBorder="1" applyAlignment="1">
      <alignment horizontal="center" vertical="center" wrapText="1"/>
    </xf>
    <xf numFmtId="4" fontId="20" fillId="7" borderId="4" xfId="2" applyNumberFormat="1" applyFont="1" applyFill="1" applyBorder="1" applyAlignment="1">
      <alignment horizontal="center" vertical="top" wrapText="1"/>
    </xf>
    <xf numFmtId="174" fontId="20" fillId="7" borderId="4" xfId="2" applyNumberFormat="1" applyFont="1" applyFill="1" applyBorder="1" applyAlignment="1">
      <alignment horizontal="center" vertical="top" wrapText="1"/>
    </xf>
    <xf numFmtId="4" fontId="20" fillId="7" borderId="4" xfId="2" applyNumberFormat="1" applyFont="1" applyFill="1" applyBorder="1" applyAlignment="1">
      <alignment horizontal="center" vertical="top"/>
    </xf>
    <xf numFmtId="174" fontId="20" fillId="10" borderId="1" xfId="2" applyNumberFormat="1" applyFont="1" applyFill="1" applyBorder="1" applyAlignment="1">
      <alignment horizontal="center" vertical="top" wrapText="1"/>
    </xf>
    <xf numFmtId="4" fontId="20" fillId="7" borderId="1" xfId="2" applyNumberFormat="1" applyFont="1" applyFill="1" applyBorder="1" applyAlignment="1">
      <alignment horizontal="center" vertical="center"/>
    </xf>
    <xf numFmtId="174" fontId="20" fillId="7" borderId="1" xfId="2" applyNumberFormat="1" applyFont="1" applyFill="1" applyBorder="1" applyAlignment="1">
      <alignment horizontal="center" vertical="center" wrapText="1"/>
    </xf>
    <xf numFmtId="4" fontId="42" fillId="7" borderId="1" xfId="2" applyNumberFormat="1" applyFont="1" applyFill="1" applyBorder="1" applyAlignment="1">
      <alignment horizontal="center" vertical="center"/>
    </xf>
    <xf numFmtId="4" fontId="20" fillId="9" borderId="1" xfId="2" applyNumberFormat="1" applyFont="1" applyFill="1" applyBorder="1" applyAlignment="1">
      <alignment horizontal="center" vertical="top"/>
    </xf>
    <xf numFmtId="174" fontId="20" fillId="9" borderId="1" xfId="2" applyNumberFormat="1" applyFont="1" applyFill="1" applyBorder="1" applyAlignment="1">
      <alignment horizontal="center" vertical="top" wrapText="1"/>
    </xf>
    <xf numFmtId="4" fontId="20" fillId="9" borderId="1" xfId="2" applyNumberFormat="1" applyFont="1" applyFill="1" applyBorder="1" applyAlignment="1">
      <alignment horizontal="center" vertical="top" wrapText="1"/>
    </xf>
    <xf numFmtId="174" fontId="20" fillId="9" borderId="1" xfId="2" applyNumberFormat="1" applyFont="1" applyFill="1" applyBorder="1" applyAlignment="1">
      <alignment horizontal="center" vertical="center" wrapText="1"/>
    </xf>
    <xf numFmtId="4" fontId="42" fillId="9" borderId="1" xfId="2" applyNumberFormat="1" applyFont="1" applyFill="1" applyBorder="1" applyAlignment="1">
      <alignment horizontal="center" vertical="center"/>
    </xf>
    <xf numFmtId="4" fontId="20" fillId="7" borderId="1" xfId="2" applyNumberFormat="1" applyFont="1" applyFill="1" applyBorder="1" applyAlignment="1">
      <alignment horizontal="center" vertical="top" wrapText="1"/>
    </xf>
    <xf numFmtId="174" fontId="20" fillId="7" borderId="1" xfId="2" applyNumberFormat="1" applyFont="1" applyFill="1" applyBorder="1" applyAlignment="1">
      <alignment horizontal="center" vertical="top" wrapText="1"/>
    </xf>
    <xf numFmtId="4" fontId="20" fillId="7" borderId="1" xfId="2" applyNumberFormat="1" applyFont="1" applyFill="1" applyBorder="1" applyAlignment="1">
      <alignment horizontal="center" vertical="top"/>
    </xf>
    <xf numFmtId="174" fontId="21" fillId="6" borderId="1" xfId="2" applyNumberFormat="1" applyFont="1" applyFill="1" applyBorder="1" applyAlignment="1">
      <alignment horizontal="center" vertical="center"/>
    </xf>
    <xf numFmtId="174" fontId="21" fillId="9" borderId="1" xfId="2" applyNumberFormat="1" applyFont="1" applyFill="1" applyBorder="1" applyAlignment="1">
      <alignment horizontal="center" vertical="center"/>
    </xf>
    <xf numFmtId="174" fontId="36" fillId="6" borderId="1" xfId="2" applyNumberFormat="1" applyFont="1" applyFill="1" applyBorder="1" applyAlignment="1">
      <alignment horizontal="center" vertical="center" wrapText="1"/>
    </xf>
    <xf numFmtId="0" fontId="41" fillId="9" borderId="0" xfId="0" applyFont="1" applyFill="1" applyAlignment="1">
      <alignment horizontal="left" vertical="center"/>
    </xf>
    <xf numFmtId="173" fontId="12" fillId="0" borderId="0" xfId="2" applyFont="1"/>
    <xf numFmtId="173" fontId="12" fillId="9" borderId="0" xfId="2" applyFont="1" applyFill="1"/>
    <xf numFmtId="0" fontId="47" fillId="0" borderId="0" xfId="0" applyFont="1" applyAlignment="1">
      <alignment horizontal="center" vertical="center"/>
    </xf>
    <xf numFmtId="0" fontId="48" fillId="0" borderId="0" xfId="0" applyFont="1" applyAlignment="1">
      <alignment vertical="center"/>
    </xf>
    <xf numFmtId="0" fontId="48" fillId="9"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horizontal="center" vertical="center"/>
    </xf>
    <xf numFmtId="0" fontId="48" fillId="0" borderId="0" xfId="0" applyFont="1" applyAlignment="1">
      <alignment vertical="center" wrapText="1"/>
    </xf>
    <xf numFmtId="0" fontId="52" fillId="0" borderId="0" xfId="0" applyFont="1" applyAlignment="1">
      <alignment vertical="center"/>
    </xf>
    <xf numFmtId="0" fontId="56" fillId="0" borderId="0" xfId="0" applyFont="1"/>
    <xf numFmtId="0" fontId="57" fillId="44" borderId="40" xfId="0" applyFont="1" applyFill="1" applyBorder="1" applyAlignment="1">
      <alignment horizontal="center" vertical="center" wrapText="1"/>
    </xf>
    <xf numFmtId="0" fontId="58" fillId="0" borderId="0" xfId="0" applyFont="1" applyAlignment="1">
      <alignment vertical="center"/>
    </xf>
    <xf numFmtId="0" fontId="57" fillId="0" borderId="40" xfId="0" applyFont="1" applyBorder="1" applyAlignment="1">
      <alignment horizontal="justify" vertical="top"/>
    </xf>
    <xf numFmtId="0" fontId="57" fillId="0" borderId="40" xfId="0" applyFont="1" applyBorder="1" applyAlignment="1">
      <alignment horizontal="justify" vertical="top" wrapText="1"/>
    </xf>
    <xf numFmtId="0" fontId="63" fillId="39" borderId="32" xfId="0" applyFont="1" applyFill="1" applyBorder="1" applyAlignment="1">
      <alignment horizontal="right" vertical="center" wrapText="1"/>
    </xf>
    <xf numFmtId="0" fontId="66" fillId="40" borderId="32" xfId="0" applyFont="1" applyFill="1" applyBorder="1" applyAlignment="1">
      <alignment vertical="center"/>
    </xf>
    <xf numFmtId="49" fontId="66" fillId="40" borderId="32" xfId="0" applyNumberFormat="1" applyFont="1" applyFill="1" applyBorder="1" applyAlignment="1" applyProtection="1">
      <alignment horizontal="left" vertical="center" wrapText="1"/>
      <protection locked="0"/>
    </xf>
    <xf numFmtId="0" fontId="66" fillId="40" borderId="32" xfId="0" applyFont="1" applyFill="1" applyBorder="1" applyAlignment="1" applyProtection="1">
      <alignment horizontal="center" vertical="center" wrapText="1"/>
      <protection locked="0"/>
    </xf>
    <xf numFmtId="0" fontId="66" fillId="0" borderId="0" xfId="0" applyFont="1" applyAlignment="1">
      <alignment vertical="center"/>
    </xf>
    <xf numFmtId="0" fontId="63" fillId="39" borderId="32" xfId="0" applyFont="1" applyFill="1" applyBorder="1" applyAlignment="1">
      <alignment horizontal="right" vertical="center"/>
    </xf>
    <xf numFmtId="0" fontId="63" fillId="0" borderId="32" xfId="0" applyFont="1" applyBorder="1" applyAlignment="1">
      <alignment vertical="center"/>
    </xf>
    <xf numFmtId="0" fontId="63" fillId="4" borderId="1" xfId="24" applyFont="1">
      <alignment horizontal="center" vertical="center"/>
      <protection locked="0"/>
    </xf>
    <xf numFmtId="0" fontId="63" fillId="0" borderId="0" xfId="0" applyFont="1" applyAlignment="1">
      <alignment horizontal="right" vertical="center" wrapText="1"/>
    </xf>
    <xf numFmtId="0" fontId="66" fillId="0" borderId="0" xfId="0" applyFont="1" applyAlignment="1">
      <alignment horizontal="center" vertical="center" wrapText="1"/>
    </xf>
    <xf numFmtId="0" fontId="66" fillId="0" borderId="0" xfId="0" applyFont="1" applyAlignment="1">
      <alignment horizontal="justify" vertical="center" wrapText="1"/>
    </xf>
    <xf numFmtId="0" fontId="48" fillId="35" borderId="0" xfId="0" applyFont="1" applyFill="1" applyAlignment="1">
      <alignment vertical="center"/>
    </xf>
    <xf numFmtId="0" fontId="50" fillId="0" borderId="40" xfId="0" applyFont="1" applyBorder="1" applyAlignment="1">
      <alignment horizontal="justify" vertical="top" wrapText="1"/>
    </xf>
    <xf numFmtId="0" fontId="51" fillId="0" borderId="0" xfId="0" applyFont="1" applyAlignment="1" applyProtection="1">
      <alignment vertical="center"/>
      <protection locked="0"/>
    </xf>
    <xf numFmtId="0" fontId="51" fillId="0" borderId="0" xfId="0" applyFont="1" applyProtection="1">
      <protection locked="0"/>
    </xf>
    <xf numFmtId="0" fontId="51" fillId="0" borderId="0" xfId="0" applyFont="1" applyAlignment="1" applyProtection="1">
      <alignment horizontal="justify" vertical="justify"/>
      <protection locked="0"/>
    </xf>
    <xf numFmtId="0" fontId="51" fillId="0" borderId="0" xfId="0" applyFont="1" applyAlignment="1">
      <alignment vertical="center"/>
    </xf>
    <xf numFmtId="49" fontId="51" fillId="0" borderId="0" xfId="0" applyNumberFormat="1" applyFont="1" applyAlignment="1" applyProtection="1">
      <alignment horizontal="center" vertical="center"/>
      <protection locked="0"/>
    </xf>
    <xf numFmtId="10" fontId="51" fillId="0" borderId="0" xfId="3" applyNumberFormat="1" applyFont="1" applyBorder="1" applyAlignment="1" applyProtection="1">
      <alignment horizontal="center" vertical="center"/>
      <protection locked="0"/>
    </xf>
    <xf numFmtId="0" fontId="51" fillId="0" borderId="0" xfId="0" applyFont="1"/>
    <xf numFmtId="0" fontId="50" fillId="0" borderId="0" xfId="0" applyFont="1" applyAlignment="1" applyProtection="1">
      <alignment horizontal="right" vertical="center"/>
      <protection locked="0"/>
    </xf>
    <xf numFmtId="10" fontId="50" fillId="0" borderId="0" xfId="3" applyNumberFormat="1" applyFont="1" applyBorder="1" applyAlignment="1" applyProtection="1">
      <alignment horizontal="center" vertical="center"/>
      <protection locked="0"/>
    </xf>
    <xf numFmtId="0" fontId="51" fillId="36" borderId="40" xfId="0" applyFont="1" applyFill="1" applyBorder="1" applyAlignment="1">
      <alignment horizontal="center" vertical="center" wrapText="1"/>
    </xf>
    <xf numFmtId="10" fontId="51" fillId="0" borderId="0" xfId="3" applyNumberFormat="1" applyFont="1" applyAlignment="1" applyProtection="1">
      <alignment horizontal="center" vertical="center"/>
    </xf>
    <xf numFmtId="0" fontId="51" fillId="0" borderId="0" xfId="0" applyFont="1" applyAlignment="1" applyProtection="1">
      <alignment horizontal="center" vertical="center"/>
      <protection locked="0"/>
    </xf>
    <xf numFmtId="4" fontId="54" fillId="34" borderId="27" xfId="0" applyNumberFormat="1" applyFont="1" applyFill="1" applyBorder="1" applyAlignment="1">
      <alignment horizontal="center" vertical="center" wrapText="1"/>
    </xf>
    <xf numFmtId="0" fontId="51" fillId="45" borderId="40" xfId="0" applyFont="1" applyFill="1" applyBorder="1" applyAlignment="1">
      <alignment horizontal="justify" vertical="center" wrapText="1"/>
    </xf>
    <xf numFmtId="0" fontId="51" fillId="36" borderId="40" xfId="0" applyFont="1" applyFill="1" applyBorder="1" applyAlignment="1">
      <alignment horizontal="justify" vertical="center" wrapText="1"/>
    </xf>
    <xf numFmtId="4" fontId="51" fillId="31" borderId="40" xfId="0" applyNumberFormat="1" applyFont="1" applyFill="1" applyBorder="1" applyAlignment="1">
      <alignment horizontal="center" vertical="center" wrapText="1"/>
    </xf>
    <xf numFmtId="4" fontId="50" fillId="36" borderId="40" xfId="0" applyNumberFormat="1" applyFont="1" applyFill="1" applyBorder="1" applyAlignment="1">
      <alignment horizontal="center" vertical="center" wrapText="1"/>
    </xf>
    <xf numFmtId="4" fontId="69" fillId="18" borderId="43" xfId="0" applyNumberFormat="1" applyFont="1" applyFill="1" applyBorder="1" applyAlignment="1">
      <alignment horizontal="right" vertical="center" wrapText="1"/>
    </xf>
    <xf numFmtId="4" fontId="51" fillId="0" borderId="0" xfId="0" applyNumberFormat="1" applyFont="1" applyAlignment="1">
      <alignment vertical="center"/>
    </xf>
    <xf numFmtId="4" fontId="50" fillId="37" borderId="53" xfId="0" applyNumberFormat="1" applyFont="1" applyFill="1" applyBorder="1" applyAlignment="1">
      <alignment horizontal="right" vertical="center" wrapText="1"/>
    </xf>
    <xf numFmtId="4" fontId="72" fillId="20" borderId="43" xfId="0" applyNumberFormat="1" applyFont="1" applyFill="1" applyBorder="1" applyAlignment="1">
      <alignment horizontal="right" vertical="center" wrapText="1"/>
    </xf>
    <xf numFmtId="0" fontId="51" fillId="0" borderId="0" xfId="0" applyFont="1" applyAlignment="1" applyProtection="1">
      <alignment horizontal="justify" vertical="justify"/>
      <protection locked="0"/>
    </xf>
    <xf numFmtId="0" fontId="0" fillId="0" borderId="0" xfId="0" applyAlignment="1">
      <alignment horizontal="center" vertical="center"/>
    </xf>
    <xf numFmtId="0" fontId="73" fillId="0" borderId="0" xfId="0" applyFont="1"/>
    <xf numFmtId="0" fontId="48" fillId="0" borderId="0" xfId="0" applyFont="1"/>
    <xf numFmtId="4" fontId="50" fillId="53" borderId="12" xfId="0" applyNumberFormat="1" applyFont="1" applyFill="1" applyBorder="1" applyAlignment="1">
      <alignment horizontal="center" vertical="center" wrapText="1"/>
    </xf>
    <xf numFmtId="4" fontId="50" fillId="53" borderId="40" xfId="0" applyNumberFormat="1" applyFont="1" applyFill="1" applyBorder="1" applyAlignment="1">
      <alignment horizontal="center" vertical="center" wrapText="1"/>
    </xf>
    <xf numFmtId="0" fontId="51" fillId="52" borderId="40" xfId="0" applyFont="1" applyFill="1" applyBorder="1" applyAlignment="1">
      <alignment horizontal="center" vertical="center" wrapText="1"/>
    </xf>
    <xf numFmtId="0" fontId="51" fillId="54" borderId="40" xfId="0" applyFont="1" applyFill="1" applyBorder="1" applyAlignment="1">
      <alignment horizontal="center" vertical="center" wrapText="1"/>
    </xf>
    <xf numFmtId="4" fontId="50" fillId="54" borderId="40" xfId="0" applyNumberFormat="1" applyFont="1" applyFill="1" applyBorder="1" applyAlignment="1">
      <alignment horizontal="center" vertical="center" wrapText="1"/>
    </xf>
    <xf numFmtId="0" fontId="50" fillId="0" borderId="40" xfId="0" applyFont="1" applyBorder="1" applyAlignment="1">
      <alignment horizontal="left" vertical="justify" wrapText="1" readingOrder="1"/>
    </xf>
    <xf numFmtId="0" fontId="51" fillId="0" borderId="0" xfId="0" applyFont="1" applyAlignment="1" applyProtection="1">
      <alignment horizontal="center" vertical="center" wrapText="1"/>
      <protection locked="0"/>
    </xf>
    <xf numFmtId="0" fontId="48" fillId="0" borderId="0" xfId="0" applyFont="1"/>
    <xf numFmtId="1" fontId="49" fillId="33" borderId="0" xfId="0" applyNumberFormat="1" applyFont="1" applyFill="1" applyAlignment="1">
      <alignment horizontal="center" vertical="center" wrapText="1"/>
    </xf>
    <xf numFmtId="0" fontId="47" fillId="0" borderId="40" xfId="0" applyFont="1" applyBorder="1" applyAlignment="1">
      <alignment horizontal="center" vertical="center"/>
    </xf>
    <xf numFmtId="1" fontId="49" fillId="24" borderId="40" xfId="0" applyNumberFormat="1" applyFont="1" applyFill="1" applyBorder="1" applyAlignment="1">
      <alignment horizontal="center" vertical="top" wrapText="1"/>
    </xf>
    <xf numFmtId="1" fontId="49" fillId="33" borderId="42" xfId="0" applyNumberFormat="1" applyFont="1" applyFill="1" applyBorder="1" applyAlignment="1">
      <alignment horizontal="center" vertical="top" wrapText="1"/>
    </xf>
    <xf numFmtId="0" fontId="49" fillId="26" borderId="40" xfId="0" applyFont="1" applyFill="1" applyBorder="1" applyAlignment="1">
      <alignment horizontal="center" vertical="top" wrapText="1"/>
    </xf>
    <xf numFmtId="0" fontId="47" fillId="29" borderId="40" xfId="0" applyFont="1" applyFill="1" applyBorder="1" applyAlignment="1">
      <alignment horizontal="center" vertical="center"/>
    </xf>
    <xf numFmtId="0" fontId="47" fillId="18" borderId="40" xfId="0" applyFont="1" applyFill="1" applyBorder="1" applyAlignment="1">
      <alignment horizontal="center" vertical="center"/>
    </xf>
    <xf numFmtId="0" fontId="47" fillId="33" borderId="44" xfId="0" applyFont="1" applyFill="1" applyBorder="1" applyAlignment="1">
      <alignment horizontal="center" vertical="center"/>
    </xf>
    <xf numFmtId="4" fontId="47" fillId="47" borderId="40" xfId="0" applyNumberFormat="1" applyFont="1" applyFill="1" applyBorder="1" applyAlignment="1">
      <alignment vertical="center"/>
    </xf>
    <xf numFmtId="0" fontId="47" fillId="33" borderId="28" xfId="0" applyFont="1" applyFill="1" applyBorder="1" applyAlignment="1">
      <alignment horizontal="center" vertical="center"/>
    </xf>
    <xf numFmtId="0" fontId="47" fillId="0" borderId="40" xfId="0" applyFont="1" applyBorder="1" applyAlignment="1">
      <alignment horizontal="left" vertical="center" wrapText="1"/>
    </xf>
    <xf numFmtId="10" fontId="47" fillId="0" borderId="40" xfId="0" applyNumberFormat="1" applyFont="1" applyBorder="1" applyAlignment="1" applyProtection="1">
      <alignment horizontal="center" vertical="center"/>
      <protection locked="0"/>
    </xf>
    <xf numFmtId="4" fontId="47" fillId="33" borderId="40" xfId="0" applyNumberFormat="1" applyFont="1" applyFill="1" applyBorder="1" applyAlignment="1">
      <alignment vertical="center"/>
    </xf>
    <xf numFmtId="4" fontId="47" fillId="22" borderId="40" xfId="0" applyNumberFormat="1" applyFont="1" applyFill="1" applyBorder="1" applyAlignment="1">
      <alignment vertical="center"/>
    </xf>
    <xf numFmtId="0" fontId="47" fillId="33" borderId="26" xfId="0" applyFont="1" applyFill="1" applyBorder="1" applyAlignment="1">
      <alignment horizontal="center" vertical="center"/>
    </xf>
    <xf numFmtId="0" fontId="47" fillId="28" borderId="40" xfId="0" applyFont="1" applyFill="1" applyBorder="1" applyAlignment="1">
      <alignment horizontal="center" vertical="center"/>
    </xf>
    <xf numFmtId="0" fontId="47" fillId="18" borderId="41" xfId="0" applyFont="1" applyFill="1" applyBorder="1" applyAlignment="1">
      <alignment horizontal="center" vertical="center"/>
    </xf>
    <xf numFmtId="0" fontId="47" fillId="18" borderId="43" xfId="0" applyFont="1" applyFill="1" applyBorder="1" applyAlignment="1">
      <alignment horizontal="center" vertical="center"/>
    </xf>
    <xf numFmtId="167" fontId="47" fillId="20" borderId="40" xfId="0" applyNumberFormat="1" applyFont="1" applyFill="1" applyBorder="1" applyAlignment="1" applyProtection="1">
      <alignment horizontal="center" vertical="center"/>
      <protection locked="0"/>
    </xf>
    <xf numFmtId="4" fontId="47" fillId="33" borderId="41" xfId="0" applyNumberFormat="1" applyFont="1" applyFill="1" applyBorder="1" applyAlignment="1">
      <alignment horizontal="right" vertical="center"/>
    </xf>
    <xf numFmtId="4" fontId="47" fillId="33" borderId="43" xfId="0" applyNumberFormat="1" applyFont="1" applyFill="1" applyBorder="1" applyAlignment="1">
      <alignment horizontal="right" vertical="center"/>
    </xf>
    <xf numFmtId="10" fontId="47" fillId="20" borderId="40" xfId="0" applyNumberFormat="1" applyFont="1" applyFill="1" applyBorder="1" applyAlignment="1" applyProtection="1">
      <alignment horizontal="center" vertical="center"/>
      <protection locked="0"/>
    </xf>
    <xf numFmtId="10" fontId="47" fillId="23" borderId="44" xfId="0" applyNumberFormat="1" applyFont="1" applyFill="1" applyBorder="1" applyAlignment="1">
      <alignment horizontal="center" vertical="center"/>
    </xf>
    <xf numFmtId="4" fontId="47" fillId="22" borderId="45" xfId="0" applyNumberFormat="1" applyFont="1" applyFill="1" applyBorder="1" applyAlignment="1">
      <alignment horizontal="right" vertical="center"/>
    </xf>
    <xf numFmtId="4" fontId="47" fillId="22" borderId="47" xfId="0" applyNumberFormat="1" applyFont="1" applyFill="1" applyBorder="1" applyAlignment="1">
      <alignment horizontal="right" vertical="center"/>
    </xf>
    <xf numFmtId="4" fontId="47" fillId="33" borderId="40" xfId="0" applyNumberFormat="1" applyFont="1" applyFill="1" applyBorder="1" applyAlignment="1">
      <alignment horizontal="right" vertical="center"/>
    </xf>
    <xf numFmtId="167" fontId="47" fillId="22" borderId="40" xfId="0" applyNumberFormat="1" applyFont="1" applyFill="1" applyBorder="1" applyAlignment="1">
      <alignment horizontal="center" vertical="center"/>
    </xf>
    <xf numFmtId="4" fontId="47" fillId="22" borderId="40" xfId="0" applyNumberFormat="1" applyFont="1" applyFill="1" applyBorder="1" applyAlignment="1">
      <alignment horizontal="right" vertical="center"/>
    </xf>
    <xf numFmtId="0" fontId="47" fillId="33" borderId="40" xfId="0" applyFont="1" applyFill="1" applyBorder="1" applyAlignment="1">
      <alignment horizontal="center" vertical="center"/>
    </xf>
    <xf numFmtId="0" fontId="74" fillId="0" borderId="40" xfId="0" applyFont="1" applyBorder="1" applyAlignment="1">
      <alignment horizontal="center" vertical="center" wrapText="1"/>
    </xf>
    <xf numFmtId="4" fontId="47" fillId="47" borderId="40" xfId="0" applyNumberFormat="1" applyFont="1" applyFill="1" applyBorder="1" applyAlignment="1">
      <alignment horizontal="right" vertical="center"/>
    </xf>
    <xf numFmtId="180" fontId="74" fillId="33" borderId="40" xfId="0" applyNumberFormat="1" applyFont="1" applyFill="1" applyBorder="1" applyAlignment="1">
      <alignment horizontal="right" vertical="center"/>
    </xf>
    <xf numFmtId="4" fontId="47" fillId="33" borderId="28" xfId="0" applyNumberFormat="1" applyFont="1" applyFill="1" applyBorder="1" applyAlignment="1">
      <alignment horizontal="center" vertical="center"/>
    </xf>
    <xf numFmtId="0" fontId="48" fillId="22" borderId="40" xfId="0" applyFont="1" applyFill="1" applyBorder="1" applyAlignment="1">
      <alignment horizontal="center" vertical="center"/>
    </xf>
    <xf numFmtId="4" fontId="47" fillId="18" borderId="40" xfId="0" applyNumberFormat="1" applyFont="1" applyFill="1" applyBorder="1" applyAlignment="1">
      <alignment horizontal="right" vertical="center"/>
    </xf>
    <xf numFmtId="0" fontId="47" fillId="33" borderId="44" xfId="0" applyFont="1" applyFill="1" applyBorder="1" applyAlignment="1">
      <alignment vertical="center"/>
    </xf>
    <xf numFmtId="0" fontId="47" fillId="33" borderId="28" xfId="0" applyFont="1" applyFill="1" applyBorder="1" applyAlignment="1">
      <alignment vertical="center"/>
    </xf>
    <xf numFmtId="4" fontId="47" fillId="22" borderId="41" xfId="0" applyNumberFormat="1" applyFont="1" applyFill="1" applyBorder="1" applyAlignment="1">
      <alignment horizontal="right" vertical="center"/>
    </xf>
    <xf numFmtId="0" fontId="48" fillId="0" borderId="44" xfId="0" applyFont="1" applyBorder="1" applyAlignment="1">
      <alignment vertical="center"/>
    </xf>
    <xf numFmtId="4" fontId="75" fillId="27" borderId="17" xfId="25" applyNumberFormat="1" applyFont="1" applyFill="1" applyBorder="1" applyAlignment="1">
      <alignment horizontal="right" vertical="center" wrapText="1"/>
    </xf>
    <xf numFmtId="4" fontId="75" fillId="27" borderId="51" xfId="25" applyNumberFormat="1" applyFont="1" applyFill="1" applyBorder="1" applyAlignment="1">
      <alignment horizontal="right" vertical="center" wrapText="1"/>
    </xf>
    <xf numFmtId="0" fontId="47" fillId="19" borderId="26" xfId="0" applyFont="1" applyFill="1" applyBorder="1" applyAlignment="1">
      <alignment horizontal="center" vertical="center"/>
    </xf>
    <xf numFmtId="0" fontId="47" fillId="19" borderId="40" xfId="0" applyFont="1" applyFill="1" applyBorder="1" applyAlignment="1">
      <alignment horizontal="center" vertical="center"/>
    </xf>
    <xf numFmtId="4" fontId="47" fillId="18" borderId="40" xfId="0" applyNumberFormat="1" applyFont="1" applyFill="1" applyBorder="1" applyAlignment="1">
      <alignment horizontal="center" vertical="center"/>
    </xf>
    <xf numFmtId="4" fontId="47" fillId="33" borderId="44" xfId="0" applyNumberFormat="1" applyFont="1" applyFill="1" applyBorder="1" applyAlignment="1">
      <alignment horizontal="center" vertical="center"/>
    </xf>
    <xf numFmtId="4" fontId="47" fillId="33" borderId="28" xfId="0" applyNumberFormat="1" applyFont="1" applyFill="1" applyBorder="1" applyAlignment="1">
      <alignment horizontal="center" vertical="center"/>
    </xf>
    <xf numFmtId="0" fontId="47" fillId="30" borderId="40" xfId="0" applyFont="1" applyFill="1" applyBorder="1" applyAlignment="1">
      <alignment horizontal="center" vertical="center"/>
    </xf>
    <xf numFmtId="4" fontId="47" fillId="25" borderId="40" xfId="0" applyNumberFormat="1" applyFont="1" applyFill="1" applyBorder="1" applyAlignment="1">
      <alignment horizontal="right" vertical="center"/>
    </xf>
    <xf numFmtId="178" fontId="47" fillId="25" borderId="40" xfId="0" applyNumberFormat="1" applyFont="1" applyFill="1" applyBorder="1" applyAlignment="1">
      <alignment horizontal="center" vertical="center"/>
    </xf>
    <xf numFmtId="179" fontId="46" fillId="25" borderId="5" xfId="0" applyNumberFormat="1" applyFont="1" applyFill="1" applyBorder="1" applyAlignment="1">
      <alignment horizontal="center" vertical="center"/>
    </xf>
    <xf numFmtId="0" fontId="47" fillId="0" borderId="12" xfId="0" applyFont="1" applyBorder="1" applyAlignment="1">
      <alignment vertical="center"/>
    </xf>
    <xf numFmtId="0" fontId="47" fillId="0" borderId="13" xfId="0" applyFont="1" applyBorder="1" applyAlignment="1">
      <alignment vertical="center"/>
    </xf>
    <xf numFmtId="0" fontId="47" fillId="0" borderId="14" xfId="0" applyFont="1" applyBorder="1" applyAlignment="1">
      <alignment vertical="center"/>
    </xf>
    <xf numFmtId="0" fontId="47" fillId="0" borderId="41" xfId="0" applyFont="1" applyBorder="1" applyAlignment="1">
      <alignment vertical="center"/>
    </xf>
    <xf numFmtId="0" fontId="47" fillId="0" borderId="42" xfId="0" applyFont="1" applyBorder="1" applyAlignment="1">
      <alignment vertical="center"/>
    </xf>
    <xf numFmtId="49" fontId="47" fillId="0" borderId="40" xfId="0" applyNumberFormat="1" applyFont="1" applyBorder="1" applyAlignment="1">
      <alignment horizontal="center" vertical="center"/>
    </xf>
    <xf numFmtId="4" fontId="47" fillId="33" borderId="44" xfId="0" applyNumberFormat="1" applyFont="1" applyFill="1" applyBorder="1" applyAlignment="1">
      <alignment horizontal="right" vertical="center"/>
    </xf>
    <xf numFmtId="4" fontId="49" fillId="24" borderId="40" xfId="0" applyNumberFormat="1" applyFont="1" applyFill="1" applyBorder="1" applyAlignment="1">
      <alignment horizontal="right" vertical="center"/>
    </xf>
    <xf numFmtId="4" fontId="46" fillId="26" borderId="27" xfId="0" applyNumberFormat="1" applyFont="1" applyFill="1" applyBorder="1" applyAlignment="1">
      <alignment horizontal="right" vertical="center"/>
    </xf>
    <xf numFmtId="0" fontId="47" fillId="33" borderId="0" xfId="0" applyFont="1" applyFill="1" applyBorder="1" applyAlignment="1">
      <alignment horizontal="center" vertical="center"/>
    </xf>
    <xf numFmtId="9" fontId="48" fillId="0" borderId="40" xfId="0" applyNumberFormat="1" applyFont="1" applyBorder="1" applyAlignment="1">
      <alignment horizontal="center" vertical="center" wrapText="1"/>
    </xf>
    <xf numFmtId="0" fontId="47" fillId="28" borderId="26" xfId="0" applyFont="1" applyFill="1" applyBorder="1" applyAlignment="1">
      <alignment horizontal="center" vertical="center"/>
    </xf>
    <xf numFmtId="0" fontId="48" fillId="7" borderId="26" xfId="0" applyFont="1" applyFill="1" applyBorder="1" applyAlignment="1">
      <alignment horizontal="center" vertical="center"/>
    </xf>
    <xf numFmtId="0" fontId="47" fillId="18" borderId="12" xfId="0" applyFont="1" applyFill="1" applyBorder="1" applyAlignment="1">
      <alignment horizontal="center" vertical="center"/>
    </xf>
    <xf numFmtId="0" fontId="47" fillId="18" borderId="14" xfId="0" applyFont="1" applyFill="1" applyBorder="1" applyAlignment="1">
      <alignment horizontal="center" vertical="center"/>
    </xf>
    <xf numFmtId="0" fontId="47" fillId="18" borderId="13" xfId="0" applyFont="1" applyFill="1" applyBorder="1" applyAlignment="1">
      <alignment horizontal="center" vertical="center"/>
    </xf>
    <xf numFmtId="4" fontId="47" fillId="33" borderId="42" xfId="0" applyNumberFormat="1" applyFont="1" applyFill="1" applyBorder="1" applyAlignment="1">
      <alignment horizontal="right" vertical="center"/>
    </xf>
    <xf numFmtId="4" fontId="47" fillId="22" borderId="46" xfId="0" applyNumberFormat="1" applyFont="1" applyFill="1" applyBorder="1" applyAlignment="1">
      <alignment horizontal="right" vertical="center"/>
    </xf>
    <xf numFmtId="4" fontId="75" fillId="27" borderId="21" xfId="25" applyNumberFormat="1" applyFont="1" applyFill="1" applyBorder="1" applyAlignment="1">
      <alignment horizontal="right" vertical="center" wrapText="1"/>
    </xf>
    <xf numFmtId="4" fontId="47" fillId="33" borderId="28" xfId="0" applyNumberFormat="1" applyFont="1" applyFill="1" applyBorder="1" applyAlignment="1">
      <alignment vertical="center"/>
    </xf>
    <xf numFmtId="4" fontId="75" fillId="27" borderId="60" xfId="25" applyNumberFormat="1" applyFont="1" applyFill="1" applyBorder="1" applyAlignment="1">
      <alignment horizontal="right" vertical="center" wrapText="1"/>
    </xf>
    <xf numFmtId="4" fontId="75" fillId="27" borderId="22" xfId="25" applyNumberFormat="1" applyFont="1" applyFill="1" applyBorder="1" applyAlignment="1">
      <alignment horizontal="right" vertical="center" wrapText="1"/>
    </xf>
    <xf numFmtId="0" fontId="48" fillId="0" borderId="0" xfId="0" applyFont="1" applyAlignment="1"/>
    <xf numFmtId="3" fontId="74" fillId="0" borderId="40" xfId="0" applyNumberFormat="1" applyFont="1" applyBorder="1" applyAlignment="1">
      <alignment horizontal="center" vertical="center"/>
    </xf>
    <xf numFmtId="9" fontId="74" fillId="0" borderId="40" xfId="3" applyFont="1" applyBorder="1" applyAlignment="1">
      <alignment horizontal="center" vertical="center"/>
    </xf>
    <xf numFmtId="0" fontId="47" fillId="0" borderId="40" xfId="0" applyFont="1" applyBorder="1" applyAlignment="1">
      <alignment horizontal="center" vertical="center"/>
    </xf>
    <xf numFmtId="0" fontId="47" fillId="33" borderId="44" xfId="0" applyFont="1" applyFill="1" applyBorder="1" applyAlignment="1">
      <alignment horizontal="center" vertical="center"/>
    </xf>
    <xf numFmtId="0" fontId="47" fillId="33" borderId="28" xfId="0" applyFont="1" applyFill="1" applyBorder="1" applyAlignment="1">
      <alignment horizontal="center" vertical="center"/>
    </xf>
    <xf numFmtId="0" fontId="47" fillId="33" borderId="26" xfId="0" applyFont="1" applyFill="1" applyBorder="1" applyAlignment="1">
      <alignment horizontal="center" vertical="center"/>
    </xf>
    <xf numFmtId="0" fontId="47" fillId="18" borderId="41" xfId="0" applyFont="1" applyFill="1" applyBorder="1" applyAlignment="1">
      <alignment horizontal="left" vertical="center"/>
    </xf>
    <xf numFmtId="0" fontId="47" fillId="18" borderId="42" xfId="0" applyFont="1" applyFill="1" applyBorder="1" applyAlignment="1">
      <alignment horizontal="left" vertical="center"/>
    </xf>
    <xf numFmtId="0" fontId="47" fillId="18" borderId="43" xfId="0" applyFont="1" applyFill="1" applyBorder="1" applyAlignment="1">
      <alignment horizontal="left" vertical="center"/>
    </xf>
    <xf numFmtId="0" fontId="47" fillId="18" borderId="40" xfId="0" applyFont="1" applyFill="1" applyBorder="1" applyAlignment="1">
      <alignment horizontal="center" vertical="center"/>
    </xf>
    <xf numFmtId="4" fontId="75" fillId="27" borderId="19" xfId="25" applyNumberFormat="1" applyFont="1" applyFill="1" applyBorder="1" applyAlignment="1">
      <alignment horizontal="right" vertical="center" wrapText="1"/>
    </xf>
    <xf numFmtId="4" fontId="47" fillId="33" borderId="13" xfId="0" applyNumberFormat="1" applyFont="1" applyFill="1" applyBorder="1" applyAlignment="1">
      <alignment horizontal="right" vertical="center"/>
    </xf>
    <xf numFmtId="4" fontId="47" fillId="22" borderId="44" xfId="0" applyNumberFormat="1" applyFont="1" applyFill="1" applyBorder="1" applyAlignment="1">
      <alignment horizontal="right" vertical="center"/>
    </xf>
    <xf numFmtId="4" fontId="47" fillId="22" borderId="42" xfId="0" applyNumberFormat="1" applyFont="1" applyFill="1" applyBorder="1" applyAlignment="1">
      <alignment horizontal="right" vertical="center"/>
    </xf>
    <xf numFmtId="4" fontId="47" fillId="22" borderId="43" xfId="0" applyNumberFormat="1" applyFont="1" applyFill="1" applyBorder="1" applyAlignment="1">
      <alignment horizontal="right" vertical="center"/>
    </xf>
    <xf numFmtId="1" fontId="74" fillId="0" borderId="40" xfId="0" applyNumberFormat="1" applyFont="1" applyBorder="1" applyAlignment="1">
      <alignment horizontal="center" vertical="center" wrapText="1"/>
    </xf>
    <xf numFmtId="4" fontId="75" fillId="27" borderId="63" xfId="25" applyNumberFormat="1" applyFont="1" applyFill="1" applyBorder="1" applyAlignment="1">
      <alignment horizontal="right" vertical="center" wrapText="1"/>
    </xf>
    <xf numFmtId="0" fontId="47" fillId="33" borderId="0" xfId="0" applyFont="1" applyFill="1" applyBorder="1" applyAlignment="1">
      <alignment vertical="center"/>
    </xf>
    <xf numFmtId="1" fontId="47" fillId="0" borderId="40" xfId="0" applyNumberFormat="1" applyFont="1" applyBorder="1" applyAlignment="1">
      <alignment horizontal="center" vertical="center" wrapText="1"/>
    </xf>
    <xf numFmtId="0" fontId="47" fillId="29" borderId="26" xfId="0" applyFont="1" applyFill="1" applyBorder="1" applyAlignment="1">
      <alignment horizontal="center" vertical="center"/>
    </xf>
    <xf numFmtId="0" fontId="47" fillId="18" borderId="26" xfId="0" applyFont="1" applyFill="1" applyBorder="1" applyAlignment="1">
      <alignment horizontal="center" vertical="center"/>
    </xf>
    <xf numFmtId="4" fontId="47" fillId="47" borderId="41" xfId="0" applyNumberFormat="1" applyFont="1" applyFill="1" applyBorder="1" applyAlignment="1">
      <alignment horizontal="right" vertical="center"/>
    </xf>
    <xf numFmtId="4" fontId="47" fillId="47" borderId="43" xfId="0" applyNumberFormat="1" applyFont="1" applyFill="1" applyBorder="1" applyAlignment="1">
      <alignment horizontal="right" vertical="center"/>
    </xf>
    <xf numFmtId="3" fontId="74" fillId="33" borderId="27" xfId="0" applyNumberFormat="1" applyFont="1" applyFill="1" applyBorder="1" applyAlignment="1">
      <alignment horizontal="right" vertical="center"/>
    </xf>
    <xf numFmtId="0" fontId="48" fillId="33" borderId="41" xfId="0" applyFont="1" applyFill="1" applyBorder="1" applyAlignment="1">
      <alignment horizontal="center" vertical="center"/>
    </xf>
    <xf numFmtId="1" fontId="49" fillId="24" borderId="11" xfId="0" applyNumberFormat="1" applyFont="1" applyFill="1" applyBorder="1" applyAlignment="1">
      <alignment horizontal="center" vertical="center" wrapText="1"/>
    </xf>
    <xf numFmtId="0" fontId="49" fillId="26" borderId="28" xfId="0" applyFont="1" applyFill="1" applyBorder="1" applyAlignment="1">
      <alignment horizontal="center" vertical="center" wrapText="1"/>
    </xf>
    <xf numFmtId="0" fontId="49" fillId="55" borderId="28" xfId="0" applyFont="1" applyFill="1" applyBorder="1" applyAlignment="1">
      <alignment horizontal="center" vertical="center" wrapText="1"/>
    </xf>
    <xf numFmtId="0" fontId="47" fillId="0" borderId="26" xfId="0" applyFont="1" applyBorder="1" applyAlignment="1">
      <alignment horizontal="center" vertical="center"/>
    </xf>
    <xf numFmtId="0" fontId="74" fillId="33" borderId="27" xfId="0" applyFont="1" applyFill="1" applyBorder="1" applyAlignment="1">
      <alignment horizontal="center" vertical="center" shrinkToFit="1"/>
    </xf>
    <xf numFmtId="0" fontId="78" fillId="51" borderId="1" xfId="0" applyFont="1" applyFill="1" applyBorder="1" applyAlignment="1">
      <alignment horizontal="center" vertical="top" wrapText="1"/>
    </xf>
    <xf numFmtId="0" fontId="78" fillId="0" borderId="4" xfId="0" applyFont="1" applyBorder="1" applyAlignment="1">
      <alignment horizontal="center" vertical="center"/>
    </xf>
    <xf numFmtId="0" fontId="66" fillId="0" borderId="4" xfId="0" applyFont="1" applyBorder="1" applyAlignment="1">
      <alignment horizontal="center" vertical="center"/>
    </xf>
    <xf numFmtId="0" fontId="78" fillId="0" borderId="1" xfId="0" applyFont="1" applyBorder="1" applyAlignment="1">
      <alignment horizontal="center" vertical="center"/>
    </xf>
    <xf numFmtId="0" fontId="66" fillId="0" borderId="4" xfId="0" applyFont="1" applyBorder="1" applyAlignment="1">
      <alignment horizontal="justify" vertical="center" wrapText="1"/>
    </xf>
    <xf numFmtId="4" fontId="66" fillId="0" borderId="4" xfId="0" applyNumberFormat="1" applyFont="1" applyBorder="1" applyAlignment="1">
      <alignment horizontal="center" vertical="center"/>
    </xf>
    <xf numFmtId="0" fontId="66" fillId="0" borderId="1" xfId="0" applyFont="1" applyBorder="1" applyAlignment="1">
      <alignment horizontal="justify" vertical="center" wrapText="1"/>
    </xf>
    <xf numFmtId="0" fontId="66" fillId="0" borderId="1" xfId="0" applyFont="1" applyBorder="1" applyAlignment="1">
      <alignment horizontal="center" vertical="center"/>
    </xf>
    <xf numFmtId="4" fontId="78" fillId="0" borderId="1" xfId="0" applyNumberFormat="1" applyFont="1" applyBorder="1" applyAlignment="1">
      <alignment horizontal="center" vertical="center"/>
    </xf>
    <xf numFmtId="4" fontId="78" fillId="18" borderId="1" xfId="0" applyNumberFormat="1" applyFont="1" applyFill="1" applyBorder="1" applyAlignment="1">
      <alignment horizontal="center" vertical="center"/>
    </xf>
    <xf numFmtId="0" fontId="47" fillId="51" borderId="1" xfId="0" applyFont="1" applyFill="1" applyBorder="1" applyAlignment="1">
      <alignment horizontal="center" vertical="top" wrapText="1"/>
    </xf>
    <xf numFmtId="0" fontId="66" fillId="0" borderId="0" xfId="0" applyFont="1"/>
    <xf numFmtId="0" fontId="80" fillId="0" borderId="0" xfId="0" applyFont="1"/>
    <xf numFmtId="0" fontId="66" fillId="0" borderId="4" xfId="0" applyFont="1" applyBorder="1" applyAlignment="1">
      <alignment horizontal="left" vertical="center" wrapText="1"/>
    </xf>
    <xf numFmtId="0" fontId="66" fillId="0" borderId="1" xfId="0" applyFont="1" applyBorder="1" applyAlignment="1">
      <alignment horizontal="left" vertical="center" wrapText="1"/>
    </xf>
    <xf numFmtId="4" fontId="78" fillId="32" borderId="1" xfId="0" applyNumberFormat="1" applyFont="1" applyFill="1" applyBorder="1" applyAlignment="1">
      <alignment horizontal="center" vertical="center"/>
    </xf>
    <xf numFmtId="4" fontId="47" fillId="33" borderId="58" xfId="0" applyNumberFormat="1" applyFont="1" applyFill="1" applyBorder="1" applyAlignment="1">
      <alignment horizontal="center" vertical="center"/>
    </xf>
    <xf numFmtId="0" fontId="47" fillId="18" borderId="44" xfId="0" applyFont="1" applyFill="1" applyBorder="1" applyAlignment="1">
      <alignment horizontal="center" vertical="center"/>
    </xf>
    <xf numFmtId="4" fontId="47" fillId="22" borderId="26" xfId="0" applyNumberFormat="1" applyFont="1" applyFill="1" applyBorder="1" applyAlignment="1">
      <alignment horizontal="right" vertical="center"/>
    </xf>
    <xf numFmtId="4" fontId="47" fillId="47" borderId="27" xfId="0" applyNumberFormat="1" applyFont="1" applyFill="1" applyBorder="1" applyAlignment="1">
      <alignment horizontal="right" vertical="center"/>
    </xf>
    <xf numFmtId="0" fontId="47" fillId="33" borderId="58" xfId="0" applyFont="1" applyFill="1" applyBorder="1" applyAlignment="1">
      <alignment vertical="center"/>
    </xf>
    <xf numFmtId="4" fontId="47" fillId="33" borderId="27" xfId="0" applyNumberFormat="1" applyFont="1" applyFill="1" applyBorder="1" applyAlignment="1">
      <alignment horizontal="right" vertical="center"/>
    </xf>
    <xf numFmtId="0" fontId="47" fillId="33" borderId="45" xfId="0" applyFont="1" applyFill="1" applyBorder="1" applyAlignment="1">
      <alignment vertical="center"/>
    </xf>
    <xf numFmtId="0" fontId="47" fillId="18" borderId="27" xfId="0" applyFont="1" applyFill="1" applyBorder="1" applyAlignment="1">
      <alignment horizontal="center" vertical="center"/>
    </xf>
    <xf numFmtId="4" fontId="75" fillId="27" borderId="24" xfId="25" applyNumberFormat="1" applyFont="1" applyFill="1" applyBorder="1" applyAlignment="1">
      <alignment horizontal="right" vertical="center" wrapText="1"/>
    </xf>
    <xf numFmtId="4" fontId="47" fillId="22" borderId="27" xfId="0" applyNumberFormat="1" applyFont="1" applyFill="1" applyBorder="1" applyAlignment="1">
      <alignment horizontal="right" vertical="center"/>
    </xf>
    <xf numFmtId="0" fontId="50" fillId="7" borderId="44" xfId="0" applyFont="1" applyFill="1" applyBorder="1" applyAlignment="1">
      <alignment horizontal="center" vertical="top" wrapText="1"/>
    </xf>
    <xf numFmtId="0" fontId="69" fillId="34" borderId="27" xfId="0" applyFont="1" applyFill="1" applyBorder="1" applyAlignment="1">
      <alignment horizontal="center" vertical="top" wrapText="1"/>
    </xf>
    <xf numFmtId="0" fontId="50" fillId="18" borderId="44" xfId="0" applyFont="1" applyFill="1" applyBorder="1" applyAlignment="1">
      <alignment horizontal="center" vertical="top" wrapText="1"/>
    </xf>
    <xf numFmtId="0" fontId="50" fillId="19" borderId="27" xfId="0" applyFont="1" applyFill="1" applyBorder="1" applyAlignment="1">
      <alignment horizontal="center" vertical="center" wrapText="1"/>
    </xf>
    <xf numFmtId="0" fontId="50" fillId="20" borderId="47" xfId="0" applyFont="1" applyFill="1" applyBorder="1" applyAlignment="1">
      <alignment horizontal="center" vertical="top" wrapText="1"/>
    </xf>
    <xf numFmtId="0" fontId="69" fillId="34" borderId="46" xfId="0" applyFont="1" applyFill="1" applyBorder="1" applyAlignment="1">
      <alignment horizontal="center" vertical="top" wrapText="1"/>
    </xf>
    <xf numFmtId="4" fontId="50" fillId="45" borderId="26" xfId="0" applyNumberFormat="1" applyFont="1" applyFill="1" applyBorder="1" applyAlignment="1">
      <alignment horizontal="center" vertical="center" wrapText="1"/>
    </xf>
    <xf numFmtId="0" fontId="50" fillId="7" borderId="27" xfId="0" applyFont="1" applyFill="1" applyBorder="1" applyAlignment="1">
      <alignment horizontal="center" vertical="top" wrapText="1"/>
    </xf>
    <xf numFmtId="0" fontId="51" fillId="54" borderId="43" xfId="0" applyFont="1" applyFill="1" applyBorder="1" applyAlignment="1">
      <alignment horizontal="justify" vertical="center" wrapText="1"/>
    </xf>
    <xf numFmtId="0" fontId="51" fillId="54" borderId="27" xfId="0" applyFont="1" applyFill="1" applyBorder="1" applyAlignment="1">
      <alignment vertical="center" wrapText="1"/>
    </xf>
    <xf numFmtId="4" fontId="50" fillId="52" borderId="40" xfId="0" applyNumberFormat="1" applyFont="1" applyFill="1" applyBorder="1" applyAlignment="1">
      <alignment horizontal="center" vertical="center" wrapText="1"/>
    </xf>
    <xf numFmtId="4" fontId="69" fillId="18" borderId="47" xfId="0" applyNumberFormat="1" applyFont="1" applyFill="1" applyBorder="1" applyAlignment="1">
      <alignment horizontal="right" vertical="center" wrapText="1"/>
    </xf>
    <xf numFmtId="4" fontId="70" fillId="21" borderId="66" xfId="0" applyNumberFormat="1" applyFont="1" applyFill="1" applyBorder="1" applyAlignment="1">
      <alignment horizontal="right" vertical="center"/>
    </xf>
    <xf numFmtId="4" fontId="50" fillId="46" borderId="12" xfId="0" applyNumberFormat="1" applyFont="1" applyFill="1" applyBorder="1" applyAlignment="1">
      <alignment horizontal="center" vertical="center" wrapText="1"/>
    </xf>
    <xf numFmtId="4" fontId="50" fillId="46" borderId="31" xfId="0" applyNumberFormat="1" applyFont="1" applyFill="1" applyBorder="1" applyAlignment="1">
      <alignment horizontal="center" vertical="center" wrapText="1"/>
    </xf>
    <xf numFmtId="0" fontId="51" fillId="45" borderId="42" xfId="0" applyFont="1" applyFill="1" applyBorder="1" applyAlignment="1">
      <alignment horizontal="left" vertical="center" wrapText="1"/>
    </xf>
    <xf numFmtId="0" fontId="51" fillId="53" borderId="43" xfId="0" applyFont="1" applyFill="1" applyBorder="1" applyAlignment="1">
      <alignment horizontal="center" vertical="center" wrapText="1"/>
    </xf>
    <xf numFmtId="0" fontId="51" fillId="45" borderId="14" xfId="0" applyFont="1" applyFill="1" applyBorder="1" applyAlignment="1">
      <alignment horizontal="center" vertical="center" wrapText="1"/>
    </xf>
    <xf numFmtId="0" fontId="51" fillId="53" borderId="13" xfId="0" applyFont="1" applyFill="1" applyBorder="1" applyAlignment="1">
      <alignment horizontal="center" vertical="center" wrapText="1"/>
    </xf>
    <xf numFmtId="4" fontId="49" fillId="20" borderId="40" xfId="0" applyNumberFormat="1" applyFont="1" applyFill="1" applyBorder="1" applyAlignment="1">
      <alignment horizontal="right" vertical="center"/>
    </xf>
    <xf numFmtId="4" fontId="46" fillId="20" borderId="27" xfId="0" applyNumberFormat="1" applyFont="1" applyFill="1" applyBorder="1" applyAlignment="1">
      <alignment horizontal="right" vertical="center"/>
    </xf>
    <xf numFmtId="4" fontId="51" fillId="0" borderId="0" xfId="3" applyNumberFormat="1" applyFont="1" applyBorder="1" applyAlignment="1" applyProtection="1">
      <alignment horizontal="right" vertical="center"/>
    </xf>
    <xf numFmtId="0" fontId="69" fillId="18" borderId="41" xfId="0" applyFont="1" applyFill="1" applyBorder="1" applyAlignment="1">
      <alignment horizontal="center" vertical="top"/>
    </xf>
    <xf numFmtId="4" fontId="47" fillId="57" borderId="40" xfId="0" applyNumberFormat="1" applyFont="1" applyFill="1" applyBorder="1" applyAlignment="1">
      <alignment horizontal="right" vertical="center"/>
    </xf>
    <xf numFmtId="1" fontId="47" fillId="24" borderId="26" xfId="0" applyNumberFormat="1" applyFont="1" applyFill="1" applyBorder="1" applyAlignment="1">
      <alignment horizontal="center" vertical="center"/>
    </xf>
    <xf numFmtId="1" fontId="47" fillId="33" borderId="26" xfId="0" applyNumberFormat="1" applyFont="1" applyFill="1" applyBorder="1" applyAlignment="1">
      <alignment horizontal="center" vertical="center"/>
    </xf>
    <xf numFmtId="1" fontId="47" fillId="26" borderId="26" xfId="0" applyNumberFormat="1" applyFont="1" applyFill="1" applyBorder="1" applyAlignment="1">
      <alignment horizontal="center" vertical="center"/>
    </xf>
    <xf numFmtId="1" fontId="47" fillId="55" borderId="26" xfId="0" applyNumberFormat="1" applyFont="1" applyFill="1" applyBorder="1" applyAlignment="1">
      <alignment horizontal="center" vertical="center"/>
    </xf>
    <xf numFmtId="0" fontId="47" fillId="29" borderId="27" xfId="0" applyFont="1" applyFill="1" applyBorder="1" applyAlignment="1">
      <alignment horizontal="center" vertical="center"/>
    </xf>
    <xf numFmtId="0" fontId="47" fillId="0" borderId="27" xfId="0" applyFont="1" applyBorder="1" applyAlignment="1">
      <alignment horizontal="center" vertical="center"/>
    </xf>
    <xf numFmtId="4" fontId="47" fillId="47" borderId="27" xfId="0" applyNumberFormat="1" applyFont="1" applyFill="1" applyBorder="1" applyAlignment="1">
      <alignment vertical="center"/>
    </xf>
    <xf numFmtId="0" fontId="47" fillId="0" borderId="27" xfId="0" applyFont="1" applyBorder="1" applyAlignment="1">
      <alignment horizontal="left" vertical="center" wrapText="1"/>
    </xf>
    <xf numFmtId="10" fontId="47" fillId="0" borderId="27" xfId="0" applyNumberFormat="1" applyFont="1" applyBorder="1" applyAlignment="1" applyProtection="1">
      <alignment horizontal="center" vertical="center"/>
      <protection locked="0"/>
    </xf>
    <xf numFmtId="4" fontId="47" fillId="33" borderId="27" xfId="0" applyNumberFormat="1" applyFont="1" applyFill="1" applyBorder="1" applyAlignment="1">
      <alignment vertical="center"/>
    </xf>
    <xf numFmtId="4" fontId="47" fillId="22" borderId="27" xfId="0" applyNumberFormat="1" applyFont="1" applyFill="1" applyBorder="1" applyAlignment="1">
      <alignment vertical="center"/>
    </xf>
    <xf numFmtId="167" fontId="47" fillId="20" borderId="26" xfId="0" applyNumberFormat="1" applyFont="1" applyFill="1" applyBorder="1" applyAlignment="1" applyProtection="1">
      <alignment horizontal="center" vertical="center"/>
      <protection locked="0"/>
    </xf>
    <xf numFmtId="4" fontId="47" fillId="33" borderId="12" xfId="0" applyNumberFormat="1" applyFont="1" applyFill="1" applyBorder="1" applyAlignment="1">
      <alignment horizontal="right" vertical="center"/>
    </xf>
    <xf numFmtId="4" fontId="47" fillId="33" borderId="14" xfId="0" applyNumberFormat="1" applyFont="1" applyFill="1" applyBorder="1" applyAlignment="1">
      <alignment horizontal="right" vertical="center"/>
    </xf>
    <xf numFmtId="0" fontId="47" fillId="28" borderId="27" xfId="0" applyFont="1" applyFill="1" applyBorder="1" applyAlignment="1">
      <alignment horizontal="center" vertical="center"/>
    </xf>
    <xf numFmtId="0" fontId="48" fillId="7" borderId="27" xfId="0" applyFont="1" applyFill="1" applyBorder="1" applyAlignment="1">
      <alignment horizontal="center" vertical="center"/>
    </xf>
    <xf numFmtId="0" fontId="47" fillId="33" borderId="27" xfId="0" applyFont="1" applyFill="1" applyBorder="1" applyAlignment="1">
      <alignment vertical="center"/>
    </xf>
    <xf numFmtId="4" fontId="75" fillId="27" borderId="15" xfId="25" applyNumberFormat="1" applyFont="1" applyFill="1" applyBorder="1" applyAlignment="1">
      <alignment horizontal="right" vertical="center" wrapText="1"/>
    </xf>
    <xf numFmtId="4" fontId="75" fillId="27" borderId="16" xfId="25" applyNumberFormat="1" applyFont="1" applyFill="1" applyBorder="1" applyAlignment="1">
      <alignment horizontal="right" vertical="center" wrapText="1"/>
    </xf>
    <xf numFmtId="4" fontId="47" fillId="22" borderId="28" xfId="0" applyNumberFormat="1" applyFont="1" applyFill="1" applyBorder="1" applyAlignment="1">
      <alignment horizontal="right" vertical="center"/>
    </xf>
    <xf numFmtId="1" fontId="49" fillId="24" borderId="44" xfId="0" applyNumberFormat="1" applyFont="1" applyFill="1" applyBorder="1" applyAlignment="1">
      <alignment horizontal="center" vertical="top" wrapText="1"/>
    </xf>
    <xf numFmtId="1" fontId="49" fillId="33" borderId="46" xfId="0" applyNumberFormat="1" applyFont="1" applyFill="1" applyBorder="1" applyAlignment="1">
      <alignment horizontal="center" vertical="top" wrapText="1"/>
    </xf>
    <xf numFmtId="0" fontId="49" fillId="26" borderId="44" xfId="0" applyFont="1" applyFill="1" applyBorder="1" applyAlignment="1">
      <alignment horizontal="center" vertical="top" wrapText="1"/>
    </xf>
    <xf numFmtId="0" fontId="49" fillId="55" borderId="44" xfId="0" applyFont="1" applyFill="1" applyBorder="1" applyAlignment="1">
      <alignment horizontal="center" vertical="top" wrapText="1"/>
    </xf>
    <xf numFmtId="0" fontId="47" fillId="33" borderId="61" xfId="0" applyFont="1" applyFill="1" applyBorder="1" applyAlignment="1">
      <alignment horizontal="center" vertical="center"/>
    </xf>
    <xf numFmtId="180" fontId="74" fillId="33" borderId="50" xfId="0" applyNumberFormat="1" applyFont="1" applyFill="1" applyBorder="1" applyAlignment="1">
      <alignment horizontal="right" vertical="center"/>
    </xf>
    <xf numFmtId="4" fontId="47" fillId="33" borderId="50" xfId="0" applyNumberFormat="1" applyFont="1" applyFill="1" applyBorder="1" applyAlignment="1">
      <alignment horizontal="center" vertical="center"/>
    </xf>
    <xf numFmtId="4" fontId="47" fillId="33" borderId="68" xfId="0" applyNumberFormat="1" applyFont="1" applyFill="1" applyBorder="1" applyAlignment="1">
      <alignment horizontal="center" vertical="center"/>
    </xf>
    <xf numFmtId="4" fontId="47" fillId="47" borderId="42" xfId="0" applyNumberFormat="1" applyFont="1" applyFill="1" applyBorder="1" applyAlignment="1">
      <alignment horizontal="right" vertical="center"/>
    </xf>
    <xf numFmtId="0" fontId="47" fillId="33" borderId="69" xfId="0" applyFont="1" applyFill="1" applyBorder="1" applyAlignment="1">
      <alignment horizontal="center" vertical="center"/>
    </xf>
    <xf numFmtId="1" fontId="47" fillId="33" borderId="50" xfId="0" applyNumberFormat="1" applyFont="1" applyFill="1" applyBorder="1" applyAlignment="1">
      <alignment vertical="center"/>
    </xf>
    <xf numFmtId="4" fontId="47" fillId="23" borderId="44" xfId="0" applyNumberFormat="1" applyFont="1" applyFill="1" applyBorder="1" applyAlignment="1">
      <alignment vertical="center"/>
    </xf>
    <xf numFmtId="4" fontId="47" fillId="33" borderId="58" xfId="0" applyNumberFormat="1" applyFont="1" applyFill="1" applyBorder="1" applyAlignment="1">
      <alignment vertical="center"/>
    </xf>
    <xf numFmtId="0" fontId="47" fillId="18" borderId="69" xfId="0" applyFont="1" applyFill="1" applyBorder="1" applyAlignment="1">
      <alignment horizontal="center" vertical="center"/>
    </xf>
    <xf numFmtId="4" fontId="47" fillId="33" borderId="70" xfId="0" applyNumberFormat="1" applyFont="1" applyFill="1" applyBorder="1" applyAlignment="1">
      <alignment horizontal="right" vertical="center"/>
    </xf>
    <xf numFmtId="4" fontId="47" fillId="22" borderId="71" xfId="0" applyNumberFormat="1" applyFont="1" applyFill="1" applyBorder="1" applyAlignment="1">
      <alignment horizontal="right" vertical="center"/>
    </xf>
    <xf numFmtId="4" fontId="75" fillId="27" borderId="72" xfId="25" applyNumberFormat="1" applyFont="1" applyFill="1" applyBorder="1" applyAlignment="1">
      <alignment horizontal="right" vertical="center" wrapText="1"/>
    </xf>
    <xf numFmtId="4" fontId="75" fillId="27" borderId="73" xfId="25" applyNumberFormat="1" applyFont="1" applyFill="1" applyBorder="1" applyAlignment="1">
      <alignment horizontal="right" vertical="center" wrapText="1"/>
    </xf>
    <xf numFmtId="4" fontId="75" fillId="27" borderId="74" xfId="25" applyNumberFormat="1" applyFont="1" applyFill="1" applyBorder="1" applyAlignment="1">
      <alignment horizontal="right" vertical="center" wrapText="1"/>
    </xf>
    <xf numFmtId="4" fontId="47" fillId="22" borderId="75" xfId="0" applyNumberFormat="1" applyFont="1" applyFill="1" applyBorder="1" applyAlignment="1">
      <alignment horizontal="right" vertical="center"/>
    </xf>
    <xf numFmtId="0" fontId="47" fillId="18" borderId="28" xfId="0" applyFont="1" applyFill="1" applyBorder="1" applyAlignment="1">
      <alignment horizontal="center" vertical="center"/>
    </xf>
    <xf numFmtId="4" fontId="75" fillId="27" borderId="67" xfId="25" applyNumberFormat="1" applyFont="1" applyFill="1" applyBorder="1" applyAlignment="1">
      <alignment horizontal="right" vertical="center" wrapText="1"/>
    </xf>
    <xf numFmtId="4" fontId="75" fillId="27" borderId="82" xfId="25" applyNumberFormat="1" applyFont="1" applyFill="1" applyBorder="1" applyAlignment="1">
      <alignment horizontal="right" vertical="center" wrapText="1"/>
    </xf>
    <xf numFmtId="4" fontId="47" fillId="18" borderId="26" xfId="0" applyNumberFormat="1" applyFont="1" applyFill="1" applyBorder="1" applyAlignment="1">
      <alignment horizontal="center" vertical="center"/>
    </xf>
    <xf numFmtId="178" fontId="47" fillId="25" borderId="44" xfId="0" applyNumberFormat="1" applyFont="1" applyFill="1" applyBorder="1" applyAlignment="1">
      <alignment horizontal="center" vertical="center"/>
    </xf>
    <xf numFmtId="179" fontId="46" fillId="25" borderId="7" xfId="0" applyNumberFormat="1" applyFont="1" applyFill="1" applyBorder="1" applyAlignment="1">
      <alignment horizontal="center" vertical="center"/>
    </xf>
    <xf numFmtId="4" fontId="47" fillId="33" borderId="26" xfId="0" applyNumberFormat="1" applyFont="1" applyFill="1" applyBorder="1" applyAlignment="1">
      <alignment horizontal="right" vertical="center"/>
    </xf>
    <xf numFmtId="0" fontId="47" fillId="0" borderId="44" xfId="0" applyFont="1" applyBorder="1" applyAlignment="1">
      <alignment horizontal="center" vertical="center"/>
    </xf>
    <xf numFmtId="1" fontId="49" fillId="24" borderId="28" xfId="0" applyNumberFormat="1" applyFont="1" applyFill="1" applyBorder="1" applyAlignment="1">
      <alignment horizontal="center" vertical="top" wrapText="1"/>
    </xf>
    <xf numFmtId="1" fontId="49" fillId="33" borderId="0" xfId="0" applyNumberFormat="1" applyFont="1" applyFill="1" applyBorder="1" applyAlignment="1">
      <alignment horizontal="center" vertical="top" wrapText="1"/>
    </xf>
    <xf numFmtId="0" fontId="49" fillId="26" borderId="28" xfId="0" applyFont="1" applyFill="1" applyBorder="1" applyAlignment="1">
      <alignment horizontal="center" vertical="top" wrapText="1"/>
    </xf>
    <xf numFmtId="0" fontId="77" fillId="58" borderId="0" xfId="25" applyFont="1" applyFill="1"/>
    <xf numFmtId="0" fontId="47" fillId="33" borderId="41" xfId="0" applyFont="1" applyFill="1" applyBorder="1" applyAlignment="1">
      <alignment horizontal="center" vertical="center"/>
    </xf>
    <xf numFmtId="0" fontId="74" fillId="0" borderId="40" xfId="0" applyFont="1" applyBorder="1" applyAlignment="1">
      <alignment horizontal="center" vertical="center"/>
    </xf>
    <xf numFmtId="168" fontId="74" fillId="0" borderId="40" xfId="0" applyNumberFormat="1" applyFont="1" applyBorder="1" applyAlignment="1">
      <alignment horizontal="center" vertical="center"/>
    </xf>
    <xf numFmtId="1" fontId="74" fillId="33" borderId="70" xfId="0" applyNumberFormat="1" applyFont="1" applyFill="1" applyBorder="1" applyAlignment="1">
      <alignment horizontal="right" vertical="center"/>
    </xf>
    <xf numFmtId="2" fontId="47" fillId="0" borderId="27" xfId="0" applyNumberFormat="1" applyFont="1" applyBorder="1" applyAlignment="1">
      <alignment horizontal="center" vertical="center" wrapText="1"/>
    </xf>
    <xf numFmtId="2" fontId="47" fillId="0" borderId="40" xfId="0" applyNumberFormat="1" applyFont="1" applyBorder="1" applyAlignment="1">
      <alignment horizontal="center" vertical="center" wrapText="1"/>
    </xf>
    <xf numFmtId="2" fontId="74" fillId="0" borderId="40" xfId="0" applyNumberFormat="1" applyFont="1" applyBorder="1" applyAlignment="1">
      <alignment horizontal="center" vertical="center" wrapText="1"/>
    </xf>
    <xf numFmtId="4" fontId="51" fillId="53" borderId="40" xfId="0" applyNumberFormat="1" applyFont="1" applyFill="1" applyBorder="1" applyAlignment="1">
      <alignment horizontal="center" vertical="center" wrapText="1"/>
    </xf>
    <xf numFmtId="4" fontId="54" fillId="59" borderId="27" xfId="0" applyNumberFormat="1" applyFont="1" applyFill="1" applyBorder="1" applyAlignment="1">
      <alignment horizontal="center" vertical="center" wrapText="1"/>
    </xf>
    <xf numFmtId="4" fontId="72" fillId="47" borderId="43" xfId="0" applyNumberFormat="1" applyFont="1" applyFill="1" applyBorder="1" applyAlignment="1">
      <alignment horizontal="right" vertical="center" wrapText="1"/>
    </xf>
    <xf numFmtId="4" fontId="69" fillId="47" borderId="43" xfId="0" applyNumberFormat="1" applyFont="1" applyFill="1" applyBorder="1" applyAlignment="1">
      <alignment horizontal="right" vertical="center" wrapText="1"/>
    </xf>
    <xf numFmtId="4" fontId="51" fillId="36" borderId="40" xfId="0" applyNumberFormat="1" applyFont="1" applyFill="1" applyBorder="1" applyAlignment="1">
      <alignment horizontal="center" vertical="center" wrapText="1"/>
    </xf>
    <xf numFmtId="4" fontId="54" fillId="60" borderId="27" xfId="0" applyNumberFormat="1" applyFont="1" applyFill="1" applyBorder="1" applyAlignment="1">
      <alignment horizontal="center" vertical="center" wrapText="1"/>
    </xf>
    <xf numFmtId="4" fontId="72" fillId="61" borderId="43" xfId="0" applyNumberFormat="1" applyFont="1" applyFill="1" applyBorder="1" applyAlignment="1">
      <alignment horizontal="right" vertical="center" wrapText="1"/>
    </xf>
    <xf numFmtId="4" fontId="69" fillId="61" borderId="43" xfId="0" applyNumberFormat="1" applyFont="1" applyFill="1" applyBorder="1" applyAlignment="1">
      <alignment horizontal="right" vertical="center" wrapText="1"/>
    </xf>
    <xf numFmtId="4" fontId="51" fillId="54" borderId="12" xfId="0" applyNumberFormat="1" applyFont="1" applyFill="1" applyBorder="1" applyAlignment="1">
      <alignment horizontal="center" vertical="center" wrapText="1"/>
    </xf>
    <xf numFmtId="4" fontId="54" fillId="62" borderId="27" xfId="0" applyNumberFormat="1" applyFont="1" applyFill="1" applyBorder="1" applyAlignment="1">
      <alignment horizontal="center" vertical="center" wrapText="1"/>
    </xf>
    <xf numFmtId="4" fontId="72" fillId="52" borderId="0" xfId="0" applyNumberFormat="1" applyFont="1" applyFill="1" applyBorder="1" applyAlignment="1">
      <alignment horizontal="right" vertical="center" wrapText="1"/>
    </xf>
    <xf numFmtId="4" fontId="69" fillId="52" borderId="27" xfId="0" applyNumberFormat="1" applyFont="1" applyFill="1" applyBorder="1" applyAlignment="1">
      <alignment horizontal="right" vertical="center" wrapText="1"/>
    </xf>
    <xf numFmtId="0" fontId="81" fillId="0" borderId="1" xfId="0" applyFont="1" applyBorder="1" applyAlignment="1">
      <alignment horizontal="center" vertical="center"/>
    </xf>
    <xf numFmtId="10" fontId="47" fillId="33" borderId="40" xfId="0" applyNumberFormat="1" applyFont="1" applyFill="1" applyBorder="1" applyAlignment="1" applyProtection="1">
      <alignment horizontal="center" vertical="center"/>
      <protection locked="0"/>
    </xf>
    <xf numFmtId="10" fontId="47" fillId="22" borderId="40" xfId="0" applyNumberFormat="1" applyFont="1" applyFill="1" applyBorder="1" applyAlignment="1">
      <alignment horizontal="center" vertical="center"/>
    </xf>
    <xf numFmtId="10" fontId="74" fillId="47" borderId="40" xfId="0" applyNumberFormat="1" applyFont="1" applyFill="1" applyBorder="1" applyAlignment="1">
      <alignment horizontal="center" vertical="center"/>
    </xf>
    <xf numFmtId="10" fontId="49" fillId="20" borderId="40" xfId="0" applyNumberFormat="1" applyFont="1" applyFill="1" applyBorder="1" applyAlignment="1">
      <alignment horizontal="center" vertical="center"/>
    </xf>
    <xf numFmtId="10" fontId="47" fillId="0" borderId="40" xfId="0" applyNumberFormat="1" applyFont="1" applyBorder="1" applyAlignment="1">
      <alignment horizontal="center" vertical="center"/>
    </xf>
    <xf numFmtId="10" fontId="49" fillId="33" borderId="40" xfId="0" applyNumberFormat="1" applyFont="1" applyFill="1" applyBorder="1" applyAlignment="1">
      <alignment horizontal="center" vertical="center"/>
    </xf>
    <xf numFmtId="10" fontId="47" fillId="22" borderId="44" xfId="0" applyNumberFormat="1" applyFont="1" applyFill="1" applyBorder="1" applyAlignment="1">
      <alignment horizontal="center" vertical="center"/>
    </xf>
    <xf numFmtId="10" fontId="74" fillId="47" borderId="5" xfId="0" applyNumberFormat="1" applyFont="1" applyFill="1" applyBorder="1" applyAlignment="1">
      <alignment horizontal="center" vertical="center"/>
    </xf>
    <xf numFmtId="10" fontId="46" fillId="47" borderId="26" xfId="0" applyNumberFormat="1" applyFont="1" applyFill="1" applyBorder="1" applyAlignment="1">
      <alignment horizontal="center" vertical="center"/>
    </xf>
    <xf numFmtId="10" fontId="46" fillId="47" borderId="40" xfId="0" applyNumberFormat="1" applyFont="1" applyFill="1" applyBorder="1" applyAlignment="1">
      <alignment horizontal="center" vertical="center"/>
    </xf>
    <xf numFmtId="10" fontId="47" fillId="0" borderId="43" xfId="0" applyNumberFormat="1" applyFont="1" applyBorder="1" applyAlignment="1">
      <alignment vertical="center"/>
    </xf>
    <xf numFmtId="10" fontId="46" fillId="0" borderId="40" xfId="0" applyNumberFormat="1" applyFont="1" applyBorder="1" applyAlignment="1">
      <alignment horizontal="center" vertical="center"/>
    </xf>
    <xf numFmtId="10" fontId="47" fillId="0" borderId="43" xfId="0" applyNumberFormat="1" applyFont="1" applyBorder="1" applyAlignment="1">
      <alignment horizontal="center" vertical="center"/>
    </xf>
    <xf numFmtId="4" fontId="48" fillId="0" borderId="0" xfId="0" applyNumberFormat="1" applyFont="1" applyAlignment="1">
      <alignment vertical="center"/>
    </xf>
    <xf numFmtId="4" fontId="50" fillId="20" borderId="4" xfId="0" applyNumberFormat="1" applyFont="1" applyFill="1" applyBorder="1" applyAlignment="1">
      <alignment horizontal="center" vertical="center"/>
    </xf>
    <xf numFmtId="4" fontId="50" fillId="20" borderId="1" xfId="0" applyNumberFormat="1" applyFont="1" applyFill="1" applyBorder="1" applyAlignment="1">
      <alignment horizontal="center" vertical="center"/>
    </xf>
    <xf numFmtId="4" fontId="69" fillId="20" borderId="1" xfId="0" applyNumberFormat="1" applyFont="1" applyFill="1" applyBorder="1" applyAlignment="1">
      <alignment horizontal="center" vertical="center"/>
    </xf>
    <xf numFmtId="10" fontId="47" fillId="33" borderId="40" xfId="0" applyNumberFormat="1" applyFont="1" applyFill="1" applyBorder="1" applyAlignment="1">
      <alignment horizontal="center" vertical="center"/>
    </xf>
    <xf numFmtId="0" fontId="66" fillId="40" borderId="32" xfId="0" applyFont="1" applyFill="1" applyBorder="1" applyAlignment="1">
      <alignment horizontal="center" vertical="center"/>
    </xf>
    <xf numFmtId="0" fontId="66" fillId="40" borderId="33" xfId="0" applyFont="1" applyFill="1" applyBorder="1" applyAlignment="1">
      <alignment horizontal="center"/>
    </xf>
    <xf numFmtId="0" fontId="66" fillId="40" borderId="34" xfId="0" applyFont="1" applyFill="1" applyBorder="1" applyAlignment="1">
      <alignment horizontal="center"/>
    </xf>
    <xf numFmtId="0" fontId="66" fillId="40" borderId="35" xfId="0" applyFont="1" applyFill="1" applyBorder="1" applyAlignment="1">
      <alignment horizontal="center"/>
    </xf>
    <xf numFmtId="0" fontId="66" fillId="0" borderId="33" xfId="0" applyFont="1" applyBorder="1" applyAlignment="1">
      <alignment horizontal="center" vertical="center"/>
    </xf>
    <xf numFmtId="0" fontId="66" fillId="0" borderId="34" xfId="0" applyFont="1" applyBorder="1" applyAlignment="1">
      <alignment horizontal="center" vertical="center"/>
    </xf>
    <xf numFmtId="0" fontId="66" fillId="0" borderId="35" xfId="0" applyFont="1" applyBorder="1" applyAlignment="1">
      <alignment horizontal="center" vertical="center"/>
    </xf>
    <xf numFmtId="0" fontId="66" fillId="0" borderId="32" xfId="0" applyFont="1" applyBorder="1" applyAlignment="1">
      <alignment horizontal="center" vertical="center"/>
    </xf>
    <xf numFmtId="0" fontId="63" fillId="0" borderId="32" xfId="20" applyNumberFormat="1" applyFont="1" applyBorder="1" applyProtection="1">
      <alignment vertical="center" wrapText="1"/>
    </xf>
    <xf numFmtId="0" fontId="67" fillId="0" borderId="32" xfId="0" applyFont="1" applyBorder="1" applyAlignment="1">
      <alignment horizontal="center" vertical="center" wrapText="1"/>
    </xf>
    <xf numFmtId="166" fontId="53" fillId="21" borderId="32" xfId="0" applyNumberFormat="1" applyFont="1" applyFill="1" applyBorder="1" applyAlignment="1">
      <alignment horizontal="center" vertical="center" wrapText="1"/>
    </xf>
    <xf numFmtId="0" fontId="64" fillId="42" borderId="36" xfId="0" applyFont="1" applyFill="1" applyBorder="1" applyAlignment="1">
      <alignment horizontal="center" wrapText="1"/>
    </xf>
    <xf numFmtId="0" fontId="64" fillId="42" borderId="37" xfId="0" applyFont="1" applyFill="1" applyBorder="1" applyAlignment="1">
      <alignment horizontal="center" wrapText="1"/>
    </xf>
    <xf numFmtId="0" fontId="64" fillId="42" borderId="38" xfId="0" applyFont="1" applyFill="1" applyBorder="1" applyAlignment="1">
      <alignment horizontal="center" wrapText="1"/>
    </xf>
    <xf numFmtId="166" fontId="66" fillId="43" borderId="39" xfId="0" applyNumberFormat="1" applyFont="1" applyFill="1" applyBorder="1" applyAlignment="1">
      <alignment horizontal="center" wrapText="1"/>
    </xf>
    <xf numFmtId="0" fontId="66" fillId="43" borderId="39" xfId="0" applyFont="1" applyFill="1" applyBorder="1" applyAlignment="1">
      <alignment horizontal="center" wrapText="1"/>
    </xf>
    <xf numFmtId="0" fontId="63" fillId="39" borderId="33" xfId="0" applyFont="1" applyFill="1" applyBorder="1" applyAlignment="1">
      <alignment horizontal="right" vertical="center" wrapText="1"/>
    </xf>
    <xf numFmtId="0" fontId="63" fillId="39" borderId="35" xfId="0" applyFont="1" applyFill="1" applyBorder="1" applyAlignment="1">
      <alignment horizontal="right" vertical="center" wrapText="1"/>
    </xf>
    <xf numFmtId="0" fontId="66" fillId="40" borderId="32" xfId="0" applyFont="1" applyFill="1" applyBorder="1" applyAlignment="1">
      <alignment vertical="center"/>
    </xf>
    <xf numFmtId="0" fontId="63" fillId="41" borderId="32" xfId="0" applyFont="1" applyFill="1" applyBorder="1" applyAlignment="1">
      <alignment horizontal="center" vertical="center"/>
    </xf>
    <xf numFmtId="0" fontId="64" fillId="0" borderId="32" xfId="0" applyFont="1" applyBorder="1" applyAlignment="1">
      <alignment horizontal="justify" vertical="center"/>
    </xf>
    <xf numFmtId="0" fontId="63" fillId="39" borderId="32" xfId="0" applyFont="1" applyFill="1" applyBorder="1" applyAlignment="1">
      <alignment horizontal="center" vertical="center" wrapText="1"/>
    </xf>
    <xf numFmtId="49" fontId="66" fillId="40" borderId="33" xfId="0" applyNumberFormat="1" applyFont="1" applyFill="1" applyBorder="1" applyAlignment="1" applyProtection="1">
      <alignment horizontal="center" vertical="center" wrapText="1"/>
      <protection locked="0"/>
    </xf>
    <xf numFmtId="49" fontId="66" fillId="40" borderId="34" xfId="0" applyNumberFormat="1" applyFont="1" applyFill="1" applyBorder="1" applyAlignment="1" applyProtection="1">
      <alignment horizontal="center" vertical="center" wrapText="1"/>
      <protection locked="0"/>
    </xf>
    <xf numFmtId="49" fontId="66" fillId="40" borderId="35" xfId="0" applyNumberFormat="1" applyFont="1" applyFill="1" applyBorder="1" applyAlignment="1" applyProtection="1">
      <alignment horizontal="center" vertical="center" wrapText="1"/>
      <protection locked="0"/>
    </xf>
    <xf numFmtId="0" fontId="66" fillId="40" borderId="33" xfId="0" applyFont="1" applyFill="1" applyBorder="1" applyAlignment="1">
      <alignment horizontal="center" vertical="center"/>
    </xf>
    <xf numFmtId="0" fontId="66" fillId="40" borderId="34" xfId="0" applyFont="1" applyFill="1" applyBorder="1" applyAlignment="1">
      <alignment horizontal="center" vertical="center"/>
    </xf>
    <xf numFmtId="0" fontId="66" fillId="40" borderId="35" xfId="0" applyFont="1" applyFill="1" applyBorder="1" applyAlignment="1">
      <alignment horizontal="center" vertical="center"/>
    </xf>
    <xf numFmtId="0" fontId="66" fillId="0" borderId="0" xfId="0" applyFont="1" applyAlignment="1">
      <alignment horizontal="center" vertical="center"/>
    </xf>
    <xf numFmtId="0" fontId="55" fillId="0" borderId="0" xfId="0" applyFont="1" applyAlignment="1">
      <alignment horizontal="center" vertical="center"/>
    </xf>
    <xf numFmtId="0" fontId="63" fillId="0" borderId="0" xfId="0" applyFont="1" applyAlignment="1">
      <alignment horizontal="justify" vertical="center" wrapText="1"/>
    </xf>
    <xf numFmtId="0" fontId="65" fillId="38" borderId="32" xfId="0" applyFont="1" applyFill="1" applyBorder="1" applyAlignment="1">
      <alignment horizontal="center" vertical="center"/>
    </xf>
    <xf numFmtId="0" fontId="63" fillId="0" borderId="0" xfId="0" applyFont="1" applyAlignment="1">
      <alignment horizontal="center" vertical="center"/>
    </xf>
    <xf numFmtId="0" fontId="63" fillId="39" borderId="32" xfId="0" applyFont="1" applyFill="1" applyBorder="1" applyAlignment="1">
      <alignment horizontal="center" vertical="center"/>
    </xf>
    <xf numFmtId="0" fontId="51" fillId="0" borderId="0" xfId="0" applyFont="1" applyAlignment="1" applyProtection="1">
      <alignment horizontal="justify" vertical="justify"/>
      <protection locked="0"/>
    </xf>
    <xf numFmtId="0" fontId="51" fillId="0" borderId="0" xfId="0" applyFont="1" applyAlignment="1">
      <alignment horizontal="justify" vertical="justify"/>
    </xf>
    <xf numFmtId="0" fontId="51" fillId="0" borderId="0" xfId="0" applyFont="1" applyAlignment="1" applyProtection="1">
      <alignment horizontal="right" vertical="center"/>
      <protection locked="0"/>
    </xf>
    <xf numFmtId="0" fontId="51" fillId="0" borderId="0" xfId="0" applyFont="1" applyAlignment="1" applyProtection="1">
      <alignment horizontal="center" vertical="center" wrapText="1"/>
      <protection locked="0"/>
    </xf>
    <xf numFmtId="0" fontId="51" fillId="0" borderId="0" xfId="0" applyFont="1" applyAlignment="1" applyProtection="1">
      <alignment horizontal="center" vertical="center"/>
      <protection locked="0"/>
    </xf>
    <xf numFmtId="0" fontId="51" fillId="0" borderId="0" xfId="0" applyFont="1" applyAlignment="1" applyProtection="1">
      <alignment horizontal="left" vertical="justify"/>
      <protection locked="0"/>
    </xf>
    <xf numFmtId="0" fontId="69" fillId="32" borderId="40" xfId="0" applyFont="1" applyFill="1" applyBorder="1" applyAlignment="1">
      <alignment horizontal="center" vertical="center"/>
    </xf>
    <xf numFmtId="0" fontId="69" fillId="32" borderId="44" xfId="0" applyFont="1" applyFill="1" applyBorder="1" applyAlignment="1">
      <alignment horizontal="center" vertical="center"/>
    </xf>
    <xf numFmtId="0" fontId="70" fillId="37" borderId="12" xfId="0" applyFont="1" applyFill="1" applyBorder="1" applyAlignment="1">
      <alignment horizontal="right" vertical="center" wrapText="1"/>
    </xf>
    <xf numFmtId="0" fontId="70" fillId="37" borderId="13" xfId="0" applyFont="1" applyFill="1" applyBorder="1" applyAlignment="1">
      <alignment horizontal="right" vertical="center" wrapText="1"/>
    </xf>
    <xf numFmtId="0" fontId="70" fillId="37" borderId="42" xfId="0" applyFont="1" applyFill="1" applyBorder="1" applyAlignment="1">
      <alignment horizontal="right" vertical="center" wrapText="1"/>
    </xf>
    <xf numFmtId="0" fontId="70" fillId="37" borderId="43" xfId="0" applyFont="1" applyFill="1" applyBorder="1" applyAlignment="1">
      <alignment horizontal="right" vertical="center" wrapText="1"/>
    </xf>
    <xf numFmtId="0" fontId="51" fillId="52" borderId="0" xfId="0" applyFont="1" applyFill="1" applyBorder="1" applyAlignment="1">
      <alignment horizontal="right" vertical="center" wrapText="1"/>
    </xf>
    <xf numFmtId="0" fontId="51" fillId="52" borderId="11" xfId="0" applyFont="1" applyFill="1" applyBorder="1" applyAlignment="1">
      <alignment horizontal="right" vertical="center" wrapText="1"/>
    </xf>
    <xf numFmtId="0" fontId="51" fillId="45" borderId="27" xfId="0" applyFont="1" applyFill="1" applyBorder="1" applyAlignment="1">
      <alignment horizontal="center" vertical="center" wrapText="1"/>
    </xf>
    <xf numFmtId="0" fontId="51" fillId="45" borderId="59" xfId="0" applyFont="1" applyFill="1" applyBorder="1" applyAlignment="1">
      <alignment horizontal="right" vertical="center" wrapText="1"/>
    </xf>
    <xf numFmtId="0" fontId="51" fillId="45" borderId="0" xfId="0" applyFont="1" applyFill="1" applyBorder="1" applyAlignment="1">
      <alignment horizontal="right" vertical="center" wrapText="1"/>
    </xf>
    <xf numFmtId="0" fontId="51" fillId="45" borderId="11" xfId="0" applyFont="1" applyFill="1" applyBorder="1" applyAlignment="1">
      <alignment horizontal="right" vertical="center" wrapText="1"/>
    </xf>
    <xf numFmtId="0" fontId="51" fillId="36" borderId="44" xfId="0" applyFont="1" applyFill="1" applyBorder="1" applyAlignment="1">
      <alignment horizontal="center" vertical="center" wrapText="1"/>
    </xf>
    <xf numFmtId="0" fontId="51" fillId="36" borderId="26" xfId="0" applyFont="1" applyFill="1" applyBorder="1" applyAlignment="1">
      <alignment horizontal="center" vertical="center" wrapText="1"/>
    </xf>
    <xf numFmtId="0" fontId="51" fillId="36" borderId="59" xfId="0" applyFont="1" applyFill="1" applyBorder="1" applyAlignment="1">
      <alignment horizontal="right" vertical="center" wrapText="1"/>
    </xf>
    <xf numFmtId="0" fontId="51" fillId="36" borderId="0" xfId="0" applyFont="1" applyFill="1" applyBorder="1" applyAlignment="1">
      <alignment horizontal="right" vertical="center" wrapText="1"/>
    </xf>
    <xf numFmtId="0" fontId="51" fillId="36" borderId="11" xfId="0" applyFont="1" applyFill="1" applyBorder="1" applyAlignment="1">
      <alignment horizontal="right" vertical="center" wrapText="1"/>
    </xf>
    <xf numFmtId="4" fontId="47" fillId="33" borderId="44" xfId="0" applyNumberFormat="1" applyFont="1" applyFill="1" applyBorder="1" applyAlignment="1">
      <alignment horizontal="center" vertical="center"/>
    </xf>
    <xf numFmtId="4" fontId="47" fillId="33" borderId="28" xfId="0" applyNumberFormat="1" applyFont="1" applyFill="1" applyBorder="1" applyAlignment="1">
      <alignment horizontal="center" vertical="center"/>
    </xf>
    <xf numFmtId="4" fontId="47" fillId="33" borderId="26" xfId="0" applyNumberFormat="1" applyFont="1" applyFill="1" applyBorder="1" applyAlignment="1">
      <alignment horizontal="center" vertical="center"/>
    </xf>
    <xf numFmtId="0" fontId="47" fillId="33" borderId="0" xfId="0" applyFont="1" applyFill="1" applyBorder="1" applyAlignment="1">
      <alignment horizontal="center" vertical="center"/>
    </xf>
    <xf numFmtId="0" fontId="47" fillId="33" borderId="0" xfId="0" applyFont="1" applyFill="1" applyAlignment="1">
      <alignment horizontal="center" vertical="center"/>
    </xf>
    <xf numFmtId="0" fontId="47" fillId="33" borderId="30" xfId="0" applyFont="1" applyFill="1" applyBorder="1" applyAlignment="1">
      <alignment horizontal="center" vertical="center"/>
    </xf>
    <xf numFmtId="0" fontId="47" fillId="0" borderId="41" xfId="0" applyFont="1" applyBorder="1" applyAlignment="1">
      <alignment horizontal="center" vertical="center"/>
    </xf>
    <xf numFmtId="0" fontId="47" fillId="0" borderId="43" xfId="0" applyFont="1" applyBorder="1" applyAlignment="1">
      <alignment horizontal="center" vertical="center"/>
    </xf>
    <xf numFmtId="0" fontId="47" fillId="0" borderId="27" xfId="0" applyFont="1" applyBorder="1" applyAlignment="1">
      <alignment horizontal="right" vertical="center"/>
    </xf>
    <xf numFmtId="0" fontId="47" fillId="7" borderId="0" xfId="0" applyFont="1" applyFill="1" applyBorder="1" applyAlignment="1">
      <alignment horizontal="center" vertical="center"/>
    </xf>
    <xf numFmtId="0" fontId="47" fillId="7" borderId="27" xfId="0" applyFont="1" applyFill="1" applyBorder="1" applyAlignment="1">
      <alignment horizontal="center" vertical="center"/>
    </xf>
    <xf numFmtId="0" fontId="47" fillId="49" borderId="27" xfId="0" applyFont="1" applyFill="1" applyBorder="1" applyAlignment="1">
      <alignment horizontal="center" vertical="center" wrapText="1"/>
    </xf>
    <xf numFmtId="0" fontId="47" fillId="48" borderId="27" xfId="0" applyFont="1" applyFill="1" applyBorder="1" applyAlignment="1">
      <alignment horizontal="center" vertical="center"/>
    </xf>
    <xf numFmtId="0" fontId="49" fillId="20" borderId="41" xfId="0" applyFont="1" applyFill="1" applyBorder="1" applyAlignment="1">
      <alignment horizontal="center" vertical="center" wrapText="1"/>
    </xf>
    <xf numFmtId="0" fontId="49" fillId="20" borderId="42" xfId="0" applyFont="1" applyFill="1" applyBorder="1" applyAlignment="1">
      <alignment horizontal="center" vertical="center" wrapText="1"/>
    </xf>
    <xf numFmtId="0" fontId="49" fillId="20" borderId="43" xfId="0" applyFont="1" applyFill="1" applyBorder="1" applyAlignment="1">
      <alignment horizontal="center" vertical="center" wrapText="1"/>
    </xf>
    <xf numFmtId="0" fontId="47" fillId="50" borderId="40" xfId="0" applyFont="1" applyFill="1" applyBorder="1" applyAlignment="1">
      <alignment horizontal="center" vertical="center"/>
    </xf>
    <xf numFmtId="14" fontId="47" fillId="9" borderId="12" xfId="0" applyNumberFormat="1" applyFont="1" applyFill="1" applyBorder="1" applyAlignment="1">
      <alignment horizontal="center" vertical="center"/>
    </xf>
    <xf numFmtId="14" fontId="47" fillId="9" borderId="13" xfId="0" applyNumberFormat="1" applyFont="1" applyFill="1" applyBorder="1" applyAlignment="1">
      <alignment horizontal="center" vertical="center"/>
    </xf>
    <xf numFmtId="14" fontId="47" fillId="9" borderId="14" xfId="0" applyNumberFormat="1" applyFont="1" applyFill="1" applyBorder="1" applyAlignment="1">
      <alignment horizontal="center" vertical="center"/>
    </xf>
    <xf numFmtId="0" fontId="47" fillId="9" borderId="40" xfId="0" applyFont="1" applyFill="1" applyBorder="1" applyAlignment="1">
      <alignment horizontal="center" vertical="center"/>
    </xf>
    <xf numFmtId="0" fontId="47" fillId="0" borderId="40" xfId="0" applyFont="1" applyBorder="1" applyAlignment="1">
      <alignment horizontal="center" vertical="center"/>
    </xf>
    <xf numFmtId="0" fontId="47" fillId="0" borderId="44" xfId="0" applyFont="1" applyBorder="1" applyAlignment="1">
      <alignment horizontal="center" vertical="center"/>
    </xf>
    <xf numFmtId="0" fontId="47" fillId="4" borderId="40" xfId="0" applyFont="1" applyFill="1" applyBorder="1" applyAlignment="1">
      <alignment horizontal="center" vertical="center"/>
    </xf>
    <xf numFmtId="166" fontId="47" fillId="33" borderId="40" xfId="0" applyNumberFormat="1" applyFont="1" applyFill="1" applyBorder="1" applyAlignment="1">
      <alignment horizontal="center" vertical="center" wrapText="1"/>
    </xf>
    <xf numFmtId="166" fontId="47" fillId="33" borderId="40" xfId="0" applyNumberFormat="1" applyFont="1" applyFill="1" applyBorder="1" applyAlignment="1">
      <alignment horizontal="center" vertical="center"/>
    </xf>
    <xf numFmtId="166" fontId="47" fillId="47" borderId="40" xfId="0" applyNumberFormat="1" applyFont="1" applyFill="1" applyBorder="1" applyAlignment="1">
      <alignment horizontal="center" vertical="center"/>
    </xf>
    <xf numFmtId="14" fontId="47" fillId="33" borderId="40" xfId="0" applyNumberFormat="1" applyFont="1" applyFill="1" applyBorder="1" applyAlignment="1">
      <alignment horizontal="center" vertical="center"/>
    </xf>
    <xf numFmtId="0" fontId="47" fillId="18" borderId="27" xfId="0" applyFont="1" applyFill="1" applyBorder="1" applyAlignment="1">
      <alignment horizontal="center" vertical="center"/>
    </xf>
    <xf numFmtId="0" fontId="47" fillId="0" borderId="27" xfId="0" applyFont="1" applyBorder="1" applyAlignment="1">
      <alignment horizontal="left" vertical="center"/>
    </xf>
    <xf numFmtId="0" fontId="47" fillId="18" borderId="27" xfId="0" applyFont="1" applyFill="1" applyBorder="1" applyAlignment="1">
      <alignment horizontal="center" vertical="center" wrapText="1"/>
    </xf>
    <xf numFmtId="0" fontId="47" fillId="0" borderId="41" xfId="0" applyFont="1" applyBorder="1" applyAlignment="1">
      <alignment horizontal="left" vertical="center" wrapText="1"/>
    </xf>
    <xf numFmtId="0" fontId="47" fillId="0" borderId="43" xfId="0" applyFont="1" applyBorder="1" applyAlignment="1">
      <alignment horizontal="left" vertical="center" wrapText="1"/>
    </xf>
    <xf numFmtId="0" fontId="47" fillId="33" borderId="46" xfId="0" applyFont="1" applyFill="1" applyBorder="1" applyAlignment="1">
      <alignment horizontal="center" vertical="center"/>
    </xf>
    <xf numFmtId="0" fontId="47" fillId="33" borderId="13" xfId="0" applyFont="1" applyFill="1" applyBorder="1" applyAlignment="1">
      <alignment horizontal="center" vertical="center"/>
    </xf>
    <xf numFmtId="0" fontId="47" fillId="18" borderId="57" xfId="0" applyFont="1" applyFill="1" applyBorder="1" applyAlignment="1">
      <alignment horizontal="center" vertical="center"/>
    </xf>
    <xf numFmtId="0" fontId="47" fillId="18" borderId="52" xfId="0" applyFont="1" applyFill="1" applyBorder="1" applyAlignment="1">
      <alignment horizontal="center" vertical="center"/>
    </xf>
    <xf numFmtId="0" fontId="47" fillId="18" borderId="62" xfId="0" applyFont="1" applyFill="1" applyBorder="1" applyAlignment="1">
      <alignment horizontal="center" vertical="center"/>
    </xf>
    <xf numFmtId="0" fontId="47" fillId="18" borderId="48" xfId="0" applyFont="1" applyFill="1" applyBorder="1" applyAlignment="1">
      <alignment horizontal="center" vertical="center"/>
    </xf>
    <xf numFmtId="0" fontId="47" fillId="18" borderId="41" xfId="0" applyFont="1" applyFill="1" applyBorder="1" applyAlignment="1">
      <alignment horizontal="center" vertical="center"/>
    </xf>
    <xf numFmtId="0" fontId="47" fillId="18" borderId="42" xfId="0" applyFont="1" applyFill="1" applyBorder="1" applyAlignment="1">
      <alignment horizontal="center" vertical="center"/>
    </xf>
    <xf numFmtId="0" fontId="47" fillId="18" borderId="43" xfId="0" applyFont="1" applyFill="1" applyBorder="1" applyAlignment="1">
      <alignment horizontal="center" vertical="center"/>
    </xf>
    <xf numFmtId="0" fontId="47" fillId="0" borderId="42" xfId="0" applyFont="1" applyBorder="1" applyAlignment="1">
      <alignment horizontal="left" vertical="center" wrapText="1"/>
    </xf>
    <xf numFmtId="0" fontId="47" fillId="0" borderId="41" xfId="0" applyFont="1" applyBorder="1" applyAlignment="1">
      <alignment horizontal="left" vertical="center"/>
    </xf>
    <xf numFmtId="0" fontId="47" fillId="0" borderId="42" xfId="0" applyFont="1" applyBorder="1" applyAlignment="1">
      <alignment horizontal="left" vertical="center"/>
    </xf>
    <xf numFmtId="0" fontId="47" fillId="0" borderId="43" xfId="0" applyFont="1" applyBorder="1" applyAlignment="1">
      <alignment horizontal="left" vertical="center"/>
    </xf>
    <xf numFmtId="0" fontId="75" fillId="27" borderId="19" xfId="25" applyFont="1" applyFill="1" applyBorder="1" applyAlignment="1">
      <alignment horizontal="center" vertical="center" wrapText="1"/>
    </xf>
    <xf numFmtId="0" fontId="75" fillId="27" borderId="15" xfId="25" applyFont="1" applyFill="1" applyBorder="1" applyAlignment="1">
      <alignment horizontal="center" vertical="center" wrapText="1"/>
    </xf>
    <xf numFmtId="0" fontId="75" fillId="27" borderId="16" xfId="25" applyFont="1" applyFill="1" applyBorder="1" applyAlignment="1">
      <alignment horizontal="center" vertical="center" wrapText="1"/>
    </xf>
    <xf numFmtId="0" fontId="75" fillId="27" borderId="21" xfId="25" applyFont="1" applyFill="1" applyBorder="1" applyAlignment="1">
      <alignment horizontal="center" vertical="center" wrapText="1"/>
    </xf>
    <xf numFmtId="0" fontId="75" fillId="27" borderId="22" xfId="25" applyFont="1" applyFill="1" applyBorder="1" applyAlignment="1">
      <alignment horizontal="center" vertical="center" wrapText="1"/>
    </xf>
    <xf numFmtId="0" fontId="47" fillId="0" borderId="40" xfId="0" applyFont="1" applyBorder="1" applyAlignment="1">
      <alignment horizontal="left" vertical="center" wrapText="1"/>
    </xf>
    <xf numFmtId="0" fontId="47" fillId="7" borderId="40" xfId="0" applyFont="1" applyFill="1" applyBorder="1" applyAlignment="1">
      <alignment horizontal="center" vertical="center"/>
    </xf>
    <xf numFmtId="0" fontId="47" fillId="33" borderId="27" xfId="0" applyFont="1" applyFill="1" applyBorder="1" applyAlignment="1">
      <alignment horizontal="center" vertical="center"/>
    </xf>
    <xf numFmtId="0" fontId="47" fillId="33" borderId="57" xfId="0" applyFont="1" applyFill="1" applyBorder="1" applyAlignment="1">
      <alignment horizontal="center" vertical="center"/>
    </xf>
    <xf numFmtId="0" fontId="47" fillId="19" borderId="40" xfId="0" applyFont="1" applyFill="1" applyBorder="1" applyAlignment="1">
      <alignment horizontal="center" vertical="center"/>
    </xf>
    <xf numFmtId="0" fontId="47" fillId="0" borderId="40" xfId="0" applyFont="1" applyBorder="1" applyAlignment="1">
      <alignment horizontal="left" vertical="center"/>
    </xf>
    <xf numFmtId="0" fontId="46" fillId="30" borderId="41" xfId="25" applyFont="1" applyFill="1" applyBorder="1" applyAlignment="1">
      <alignment horizontal="center" vertical="center" wrapText="1"/>
    </xf>
    <xf numFmtId="0" fontId="46" fillId="30" borderId="42" xfId="25" applyFont="1" applyFill="1" applyBorder="1" applyAlignment="1">
      <alignment horizontal="center" vertical="center" wrapText="1"/>
    </xf>
    <xf numFmtId="0" fontId="46" fillId="30" borderId="43" xfId="25" applyFont="1" applyFill="1" applyBorder="1" applyAlignment="1">
      <alignment horizontal="center" vertical="center" wrapText="1"/>
    </xf>
    <xf numFmtId="0" fontId="47" fillId="22" borderId="40" xfId="0" applyFont="1" applyFill="1" applyBorder="1" applyAlignment="1">
      <alignment horizontal="right" vertical="center"/>
    </xf>
    <xf numFmtId="49" fontId="71" fillId="8" borderId="54" xfId="0" applyNumberFormat="1" applyFont="1" applyFill="1" applyBorder="1" applyAlignment="1">
      <alignment horizontal="right" vertical="center"/>
    </xf>
    <xf numFmtId="49" fontId="71" fillId="8" borderId="55" xfId="0" applyNumberFormat="1" applyFont="1" applyFill="1" applyBorder="1" applyAlignment="1">
      <alignment horizontal="right" vertical="center"/>
    </xf>
    <xf numFmtId="49" fontId="71" fillId="8" borderId="56" xfId="0" applyNumberFormat="1" applyFont="1" applyFill="1" applyBorder="1" applyAlignment="1">
      <alignment horizontal="right" vertical="center"/>
    </xf>
    <xf numFmtId="0" fontId="76" fillId="0" borderId="40" xfId="0" applyFont="1" applyBorder="1" applyAlignment="1">
      <alignment horizontal="left" vertical="center"/>
    </xf>
    <xf numFmtId="0" fontId="75" fillId="27" borderId="20" xfId="25" applyFont="1" applyFill="1" applyBorder="1" applyAlignment="1">
      <alignment horizontal="center" vertical="center" wrapText="1"/>
    </xf>
    <xf numFmtId="0" fontId="75" fillId="27" borderId="0" xfId="25" applyFont="1" applyFill="1" applyAlignment="1">
      <alignment horizontal="center" vertical="center" wrapText="1"/>
    </xf>
    <xf numFmtId="0" fontId="75" fillId="27" borderId="18" xfId="25" applyFont="1" applyFill="1" applyBorder="1" applyAlignment="1">
      <alignment horizontal="center" vertical="center" wrapText="1"/>
    </xf>
    <xf numFmtId="0" fontId="75" fillId="27" borderId="23" xfId="25" applyFont="1" applyFill="1" applyBorder="1" applyAlignment="1">
      <alignment horizontal="center" vertical="center" wrapText="1"/>
    </xf>
    <xf numFmtId="0" fontId="75" fillId="27" borderId="24" xfId="25" applyFont="1" applyFill="1" applyBorder="1" applyAlignment="1">
      <alignment horizontal="center" vertical="center" wrapText="1"/>
    </xf>
    <xf numFmtId="0" fontId="75" fillId="27" borderId="25" xfId="25" applyFont="1" applyFill="1" applyBorder="1" applyAlignment="1">
      <alignment horizontal="center" vertical="center" wrapText="1"/>
    </xf>
    <xf numFmtId="0" fontId="47" fillId="7" borderId="26" xfId="0" applyFont="1" applyFill="1" applyBorder="1" applyAlignment="1">
      <alignment horizontal="center" vertical="center"/>
    </xf>
    <xf numFmtId="0" fontId="47" fillId="47" borderId="40" xfId="0" applyFont="1" applyFill="1" applyBorder="1" applyAlignment="1">
      <alignment horizontal="left" vertical="center"/>
    </xf>
    <xf numFmtId="0" fontId="47" fillId="22" borderId="44" xfId="0" applyFont="1" applyFill="1" applyBorder="1" applyAlignment="1">
      <alignment horizontal="right" vertical="center"/>
    </xf>
    <xf numFmtId="0" fontId="47" fillId="22" borderId="27" xfId="0" applyFont="1" applyFill="1" applyBorder="1" applyAlignment="1">
      <alignment horizontal="right" vertical="center"/>
    </xf>
    <xf numFmtId="0" fontId="47" fillId="7" borderId="27" xfId="0" applyFont="1" applyFill="1" applyBorder="1" applyAlignment="1">
      <alignment horizontal="left" vertical="center"/>
    </xf>
    <xf numFmtId="0" fontId="47" fillId="18" borderId="26" xfId="0" applyFont="1" applyFill="1" applyBorder="1" applyAlignment="1">
      <alignment horizontal="left" vertical="center"/>
    </xf>
    <xf numFmtId="0" fontId="47" fillId="0" borderId="41" xfId="0" applyFont="1" applyBorder="1" applyAlignment="1">
      <alignment horizontal="right" vertical="center"/>
    </xf>
    <xf numFmtId="0" fontId="47" fillId="0" borderId="42" xfId="0" applyFont="1" applyBorder="1" applyAlignment="1">
      <alignment horizontal="right" vertical="center"/>
    </xf>
    <xf numFmtId="0" fontId="47" fillId="0" borderId="43" xfId="0" applyFont="1" applyBorder="1" applyAlignment="1">
      <alignment horizontal="right" vertical="center"/>
    </xf>
    <xf numFmtId="0" fontId="47" fillId="23" borderId="45" xfId="0" applyFont="1" applyFill="1" applyBorder="1" applyAlignment="1">
      <alignment horizontal="center" vertical="center"/>
    </xf>
    <xf numFmtId="0" fontId="47" fillId="23" borderId="46" xfId="0" applyFont="1" applyFill="1" applyBorder="1" applyAlignment="1">
      <alignment horizontal="center" vertical="center"/>
    </xf>
    <xf numFmtId="0" fontId="47" fillId="23" borderId="47" xfId="0" applyFont="1" applyFill="1" applyBorder="1" applyAlignment="1">
      <alignment horizontal="center" vertical="center"/>
    </xf>
    <xf numFmtId="0" fontId="48" fillId="0" borderId="40" xfId="0" applyFont="1" applyBorder="1" applyAlignment="1">
      <alignment horizontal="left" vertical="center"/>
    </xf>
    <xf numFmtId="49" fontId="47" fillId="31" borderId="40" xfId="0" applyNumberFormat="1" applyFont="1" applyFill="1" applyBorder="1" applyAlignment="1">
      <alignment horizontal="right" vertical="center"/>
    </xf>
    <xf numFmtId="0" fontId="47" fillId="33" borderId="28" xfId="0" applyFont="1" applyFill="1" applyBorder="1" applyAlignment="1">
      <alignment horizontal="center" vertical="center"/>
    </xf>
    <xf numFmtId="0" fontId="47" fillId="0" borderId="27" xfId="0" applyFont="1" applyBorder="1" applyAlignment="1">
      <alignment horizontal="left" vertical="center" wrapText="1"/>
    </xf>
    <xf numFmtId="0" fontId="48" fillId="0" borderId="0" xfId="0" applyFont="1"/>
    <xf numFmtId="0" fontId="47" fillId="33" borderId="44" xfId="0" applyFont="1" applyFill="1" applyBorder="1" applyAlignment="1">
      <alignment horizontal="center" vertical="center"/>
    </xf>
    <xf numFmtId="0" fontId="47" fillId="33" borderId="26" xfId="0" applyFont="1" applyFill="1" applyBorder="1" applyAlignment="1">
      <alignment horizontal="center" vertical="center"/>
    </xf>
    <xf numFmtId="0" fontId="47" fillId="0" borderId="27" xfId="0" applyFont="1" applyBorder="1" applyAlignment="1">
      <alignment horizontal="justify" vertical="center"/>
    </xf>
    <xf numFmtId="0" fontId="47" fillId="22" borderId="41" xfId="0" applyFont="1" applyFill="1" applyBorder="1" applyAlignment="1">
      <alignment horizontal="center" vertical="center"/>
    </xf>
    <xf numFmtId="0" fontId="47" fillId="22" borderId="42" xfId="0" applyFont="1" applyFill="1" applyBorder="1" applyAlignment="1">
      <alignment horizontal="center" vertical="center"/>
    </xf>
    <xf numFmtId="0" fontId="47" fillId="22" borderId="43" xfId="0" applyFont="1" applyFill="1" applyBorder="1" applyAlignment="1">
      <alignment horizontal="center" vertical="center"/>
    </xf>
    <xf numFmtId="49" fontId="71" fillId="8" borderId="29" xfId="0" applyNumberFormat="1" applyFont="1" applyFill="1" applyBorder="1" applyAlignment="1">
      <alignment horizontal="right" vertical="center"/>
    </xf>
    <xf numFmtId="49" fontId="71" fillId="8" borderId="49" xfId="0" applyNumberFormat="1" applyFont="1" applyFill="1" applyBorder="1" applyAlignment="1">
      <alignment horizontal="right" vertical="center"/>
    </xf>
    <xf numFmtId="0" fontId="47" fillId="0" borderId="26" xfId="0" applyFont="1" applyBorder="1" applyAlignment="1">
      <alignment horizontal="left" vertical="center"/>
    </xf>
    <xf numFmtId="0" fontId="47" fillId="49" borderId="26" xfId="0" applyFont="1" applyFill="1" applyBorder="1" applyAlignment="1">
      <alignment horizontal="center" vertical="center"/>
    </xf>
    <xf numFmtId="0" fontId="47" fillId="49" borderId="26" xfId="0" applyFont="1" applyFill="1" applyBorder="1" applyAlignment="1">
      <alignment horizontal="center" vertical="center" wrapText="1"/>
    </xf>
    <xf numFmtId="0" fontId="47" fillId="49" borderId="12" xfId="0" applyFont="1" applyFill="1" applyBorder="1" applyAlignment="1">
      <alignment horizontal="center" vertical="center" wrapText="1"/>
    </xf>
    <xf numFmtId="0" fontId="47" fillId="7" borderId="41" xfId="0" applyFont="1" applyFill="1" applyBorder="1" applyAlignment="1">
      <alignment horizontal="center" vertical="center"/>
    </xf>
    <xf numFmtId="0" fontId="47" fillId="7" borderId="42" xfId="0" applyFont="1" applyFill="1" applyBorder="1" applyAlignment="1">
      <alignment horizontal="center" vertical="center"/>
    </xf>
    <xf numFmtId="0" fontId="47" fillId="7" borderId="43" xfId="0" applyFont="1" applyFill="1" applyBorder="1" applyAlignment="1">
      <alignment horizontal="center" vertical="center"/>
    </xf>
    <xf numFmtId="0" fontId="47" fillId="19" borderId="12" xfId="0" applyFont="1" applyFill="1" applyBorder="1" applyAlignment="1">
      <alignment horizontal="center" vertical="center"/>
    </xf>
    <xf numFmtId="0" fontId="47" fillId="19" borderId="13" xfId="0" applyFont="1" applyFill="1" applyBorder="1" applyAlignment="1">
      <alignment horizontal="center" vertical="center"/>
    </xf>
    <xf numFmtId="0" fontId="76" fillId="0" borderId="41" xfId="0" applyFont="1" applyBorder="1" applyAlignment="1">
      <alignment horizontal="left" vertical="center"/>
    </xf>
    <xf numFmtId="0" fontId="76" fillId="0" borderId="42" xfId="0" applyFont="1" applyBorder="1" applyAlignment="1">
      <alignment horizontal="left" vertical="center"/>
    </xf>
    <xf numFmtId="0" fontId="76" fillId="0" borderId="43" xfId="0" applyFont="1" applyBorder="1" applyAlignment="1">
      <alignment horizontal="left" vertical="center"/>
    </xf>
    <xf numFmtId="0" fontId="47" fillId="33" borderId="27" xfId="0" applyFont="1" applyFill="1" applyBorder="1" applyAlignment="1">
      <alignment horizontal="left" vertical="center" shrinkToFit="1"/>
    </xf>
    <xf numFmtId="49" fontId="47" fillId="7" borderId="57" xfId="0" applyNumberFormat="1" applyFont="1" applyFill="1" applyBorder="1" applyAlignment="1">
      <alignment horizontal="center" vertical="center"/>
    </xf>
    <xf numFmtId="49" fontId="47" fillId="7" borderId="52" xfId="0" applyNumberFormat="1" applyFont="1" applyFill="1" applyBorder="1" applyAlignment="1">
      <alignment horizontal="center" vertical="center"/>
    </xf>
    <xf numFmtId="49" fontId="47" fillId="7" borderId="48" xfId="0" applyNumberFormat="1" applyFont="1" applyFill="1" applyBorder="1" applyAlignment="1">
      <alignment horizontal="center" vertical="center"/>
    </xf>
    <xf numFmtId="0" fontId="46" fillId="25" borderId="0" xfId="0" applyFont="1" applyFill="1" applyAlignment="1">
      <alignment horizontal="center" vertical="center" wrapText="1"/>
    </xf>
    <xf numFmtId="0" fontId="46" fillId="25" borderId="11" xfId="0" applyFont="1" applyFill="1" applyBorder="1" applyAlignment="1">
      <alignment horizontal="center" vertical="center" wrapText="1"/>
    </xf>
    <xf numFmtId="0" fontId="47" fillId="18" borderId="26" xfId="0" applyFont="1" applyFill="1" applyBorder="1" applyAlignment="1">
      <alignment horizontal="center" vertical="center"/>
    </xf>
    <xf numFmtId="0" fontId="47" fillId="7" borderId="13" xfId="0" applyFont="1" applyFill="1" applyBorder="1" applyAlignment="1">
      <alignment horizontal="center" vertical="center"/>
    </xf>
    <xf numFmtId="0" fontId="47" fillId="7" borderId="14" xfId="0" applyFont="1" applyFill="1" applyBorder="1" applyAlignment="1">
      <alignment horizontal="center" vertical="center"/>
    </xf>
    <xf numFmtId="0" fontId="47" fillId="22" borderId="41" xfId="0" applyFont="1" applyFill="1" applyBorder="1" applyAlignment="1">
      <alignment horizontal="right" vertical="center"/>
    </xf>
    <xf numFmtId="0" fontId="47" fillId="22" borderId="13" xfId="0" applyFont="1" applyFill="1" applyBorder="1" applyAlignment="1">
      <alignment horizontal="right" vertical="center"/>
    </xf>
    <xf numFmtId="0" fontId="47" fillId="22" borderId="14" xfId="0" applyFont="1" applyFill="1" applyBorder="1" applyAlignment="1">
      <alignment horizontal="right" vertical="center"/>
    </xf>
    <xf numFmtId="0" fontId="48" fillId="0" borderId="0" xfId="0" applyFont="1" applyBorder="1" applyAlignment="1">
      <alignment horizontal="center"/>
    </xf>
    <xf numFmtId="0" fontId="47" fillId="18" borderId="41" xfId="0" applyFont="1" applyFill="1" applyBorder="1" applyAlignment="1">
      <alignment horizontal="left" vertical="center"/>
    </xf>
    <xf numFmtId="0" fontId="47" fillId="18" borderId="42" xfId="0" applyFont="1" applyFill="1" applyBorder="1" applyAlignment="1">
      <alignment horizontal="left" vertical="center"/>
    </xf>
    <xf numFmtId="0" fontId="47" fillId="18" borderId="43" xfId="0" applyFont="1" applyFill="1" applyBorder="1" applyAlignment="1">
      <alignment horizontal="left" vertical="center"/>
    </xf>
    <xf numFmtId="0" fontId="47" fillId="18" borderId="45" xfId="0" applyFont="1" applyFill="1" applyBorder="1" applyAlignment="1">
      <alignment horizontal="center" vertical="center"/>
    </xf>
    <xf numFmtId="0" fontId="47" fillId="18" borderId="46" xfId="0" applyFont="1" applyFill="1" applyBorder="1" applyAlignment="1">
      <alignment horizontal="center" vertical="center"/>
    </xf>
    <xf numFmtId="0" fontId="47" fillId="18" borderId="47" xfId="0" applyFont="1" applyFill="1" applyBorder="1" applyAlignment="1">
      <alignment horizontal="center" vertical="center"/>
    </xf>
    <xf numFmtId="0" fontId="47" fillId="18" borderId="58" xfId="0" applyFont="1" applyFill="1" applyBorder="1" applyAlignment="1">
      <alignment horizontal="center" vertical="center"/>
    </xf>
    <xf numFmtId="0" fontId="47" fillId="18" borderId="0" xfId="0" applyFont="1" applyFill="1" applyBorder="1" applyAlignment="1">
      <alignment horizontal="center" vertical="center"/>
    </xf>
    <xf numFmtId="0" fontId="47" fillId="18" borderId="11" xfId="0" applyFont="1" applyFill="1" applyBorder="1" applyAlignment="1">
      <alignment horizontal="center" vertical="center"/>
    </xf>
    <xf numFmtId="0" fontId="47" fillId="22" borderId="42" xfId="0" applyFont="1" applyFill="1" applyBorder="1" applyAlignment="1">
      <alignment horizontal="right" vertical="center"/>
    </xf>
    <xf numFmtId="0" fontId="47" fillId="22" borderId="43" xfId="0" applyFont="1" applyFill="1" applyBorder="1" applyAlignment="1">
      <alignment horizontal="right" vertical="center"/>
    </xf>
    <xf numFmtId="0" fontId="47" fillId="18" borderId="44" xfId="0" applyFont="1" applyFill="1" applyBorder="1" applyAlignment="1">
      <alignment horizontal="center" vertical="center"/>
    </xf>
    <xf numFmtId="0" fontId="47" fillId="18" borderId="40" xfId="0" applyFont="1" applyFill="1" applyBorder="1" applyAlignment="1">
      <alignment horizontal="center" vertical="center"/>
    </xf>
    <xf numFmtId="0" fontId="47" fillId="33" borderId="40" xfId="0" applyFont="1" applyFill="1" applyBorder="1" applyAlignment="1">
      <alignment horizontal="left" vertical="center"/>
    </xf>
    <xf numFmtId="0" fontId="47" fillId="0" borderId="42" xfId="0" applyFont="1" applyBorder="1" applyAlignment="1">
      <alignment horizontal="center" vertical="center"/>
    </xf>
    <xf numFmtId="2" fontId="47" fillId="33" borderId="40" xfId="0" applyNumberFormat="1" applyFont="1" applyFill="1" applyBorder="1" applyAlignment="1">
      <alignment horizontal="center" vertical="center"/>
    </xf>
    <xf numFmtId="0" fontId="75" fillId="27" borderId="17" xfId="0" applyFont="1" applyFill="1" applyBorder="1" applyAlignment="1">
      <alignment horizontal="center" vertical="center"/>
    </xf>
    <xf numFmtId="0" fontId="75" fillId="27" borderId="67" xfId="0" applyFont="1" applyFill="1" applyBorder="1" applyAlignment="1">
      <alignment horizontal="center" vertical="center"/>
    </xf>
    <xf numFmtId="0" fontId="47" fillId="0" borderId="26" xfId="0" applyFont="1" applyBorder="1" applyAlignment="1">
      <alignment horizontal="left" vertical="center" wrapText="1"/>
    </xf>
    <xf numFmtId="0" fontId="46" fillId="0" borderId="41" xfId="25" applyFont="1" applyBorder="1" applyAlignment="1">
      <alignment horizontal="justify" vertical="center" wrapText="1"/>
    </xf>
    <xf numFmtId="0" fontId="46" fillId="0" borderId="42" xfId="25" applyFont="1" applyBorder="1" applyAlignment="1">
      <alignment horizontal="justify" vertical="center" wrapText="1"/>
    </xf>
    <xf numFmtId="0" fontId="46" fillId="0" borderId="43" xfId="25" applyFont="1" applyBorder="1" applyAlignment="1">
      <alignment horizontal="justify" vertical="center" wrapText="1"/>
    </xf>
    <xf numFmtId="0" fontId="47" fillId="23" borderId="40" xfId="0" applyFont="1" applyFill="1" applyBorder="1" applyAlignment="1">
      <alignment horizontal="right" vertical="center"/>
    </xf>
    <xf numFmtId="0" fontId="47" fillId="23" borderId="44" xfId="0" applyFont="1" applyFill="1" applyBorder="1" applyAlignment="1">
      <alignment horizontal="right" vertical="center"/>
    </xf>
    <xf numFmtId="49" fontId="49" fillId="56" borderId="29" xfId="0" applyNumberFormat="1" applyFont="1" applyFill="1" applyBorder="1" applyAlignment="1">
      <alignment horizontal="right" vertical="center"/>
    </xf>
    <xf numFmtId="49" fontId="49" fillId="56" borderId="49" xfId="0" applyNumberFormat="1" applyFont="1" applyFill="1" applyBorder="1" applyAlignment="1">
      <alignment horizontal="right" vertical="center"/>
    </xf>
    <xf numFmtId="0" fontId="49" fillId="20" borderId="57" xfId="0" applyFont="1" applyFill="1" applyBorder="1" applyAlignment="1">
      <alignment horizontal="center" vertical="center" wrapText="1"/>
    </xf>
    <xf numFmtId="0" fontId="49" fillId="20" borderId="52" xfId="0" applyFont="1" applyFill="1" applyBorder="1" applyAlignment="1">
      <alignment horizontal="center" vertical="center" wrapText="1"/>
    </xf>
    <xf numFmtId="0" fontId="49" fillId="20" borderId="48" xfId="0" applyFont="1" applyFill="1" applyBorder="1" applyAlignment="1">
      <alignment horizontal="center" vertical="center" wrapText="1"/>
    </xf>
    <xf numFmtId="0" fontId="47" fillId="0" borderId="12" xfId="0" applyFont="1" applyBorder="1" applyAlignment="1">
      <alignment horizontal="left" vertical="center"/>
    </xf>
    <xf numFmtId="14" fontId="47" fillId="9" borderId="57" xfId="0" applyNumberFormat="1" applyFont="1" applyFill="1" applyBorder="1" applyAlignment="1">
      <alignment horizontal="center" vertical="center"/>
    </xf>
    <xf numFmtId="14" fontId="47" fillId="9" borderId="52" xfId="0" applyNumberFormat="1" applyFont="1" applyFill="1" applyBorder="1" applyAlignment="1">
      <alignment horizontal="center" vertical="center"/>
    </xf>
    <xf numFmtId="14" fontId="47" fillId="9" borderId="48" xfId="0" applyNumberFormat="1" applyFont="1" applyFill="1" applyBorder="1" applyAlignment="1">
      <alignment horizontal="center" vertical="center"/>
    </xf>
    <xf numFmtId="0" fontId="47" fillId="50" borderId="26" xfId="0" applyFont="1" applyFill="1" applyBorder="1" applyAlignment="1">
      <alignment horizontal="center" vertical="center"/>
    </xf>
    <xf numFmtId="166" fontId="47" fillId="33" borderId="41" xfId="0" applyNumberFormat="1" applyFont="1" applyFill="1" applyBorder="1" applyAlignment="1">
      <alignment horizontal="center" vertical="center" wrapText="1"/>
    </xf>
    <xf numFmtId="166" fontId="47" fillId="33" borderId="42" xfId="0" applyNumberFormat="1" applyFont="1" applyFill="1" applyBorder="1" applyAlignment="1">
      <alignment horizontal="center" vertical="center" wrapText="1"/>
    </xf>
    <xf numFmtId="166" fontId="47" fillId="33" borderId="43" xfId="0" applyNumberFormat="1" applyFont="1" applyFill="1" applyBorder="1" applyAlignment="1">
      <alignment horizontal="center" vertical="center" wrapText="1"/>
    </xf>
    <xf numFmtId="0" fontId="47" fillId="49" borderId="57" xfId="0" applyFont="1" applyFill="1" applyBorder="1" applyAlignment="1">
      <alignment horizontal="center" vertical="center" wrapText="1"/>
    </xf>
    <xf numFmtId="0" fontId="47" fillId="49" borderId="52" xfId="0" applyFont="1" applyFill="1" applyBorder="1" applyAlignment="1">
      <alignment horizontal="center" vertical="center" wrapText="1"/>
    </xf>
    <xf numFmtId="0" fontId="47" fillId="49" borderId="48" xfId="0" applyFont="1" applyFill="1" applyBorder="1" applyAlignment="1">
      <alignment horizontal="center" vertical="center" wrapText="1"/>
    </xf>
    <xf numFmtId="0" fontId="47" fillId="0" borderId="40" xfId="0" applyFont="1" applyBorder="1" applyAlignment="1">
      <alignment horizontal="justify" vertical="center"/>
    </xf>
    <xf numFmtId="0" fontId="47" fillId="18" borderId="57" xfId="0" applyFont="1" applyFill="1" applyBorder="1" applyAlignment="1">
      <alignment horizontal="center" vertical="center" wrapText="1"/>
    </xf>
    <xf numFmtId="0" fontId="47" fillId="18" borderId="52" xfId="0" applyFont="1" applyFill="1" applyBorder="1" applyAlignment="1">
      <alignment horizontal="center" vertical="center" wrapText="1"/>
    </xf>
    <xf numFmtId="0" fontId="47" fillId="18" borderId="48" xfId="0" applyFont="1" applyFill="1" applyBorder="1" applyAlignment="1">
      <alignment horizontal="center" vertical="center" wrapText="1"/>
    </xf>
    <xf numFmtId="0" fontId="47" fillId="7" borderId="44" xfId="0" applyFont="1" applyFill="1" applyBorder="1" applyAlignment="1">
      <alignment horizontal="center" vertical="center"/>
    </xf>
    <xf numFmtId="0" fontId="47" fillId="7" borderId="26" xfId="0" applyFont="1" applyFill="1" applyBorder="1" applyAlignment="1">
      <alignment horizontal="left" vertical="center"/>
    </xf>
    <xf numFmtId="0" fontId="47" fillId="22" borderId="83" xfId="0" applyFont="1" applyFill="1" applyBorder="1" applyAlignment="1">
      <alignment horizontal="center" vertical="center"/>
    </xf>
    <xf numFmtId="0" fontId="47" fillId="22" borderId="80" xfId="0" applyFont="1" applyFill="1" applyBorder="1" applyAlignment="1">
      <alignment horizontal="center" vertical="center"/>
    </xf>
    <xf numFmtId="0" fontId="47" fillId="22" borderId="84" xfId="0" applyFont="1" applyFill="1" applyBorder="1" applyAlignment="1">
      <alignment horizontal="center" vertical="center"/>
    </xf>
    <xf numFmtId="0" fontId="47" fillId="7" borderId="57" xfId="0" applyFont="1" applyFill="1" applyBorder="1" applyAlignment="1">
      <alignment horizontal="center" vertical="center"/>
    </xf>
    <xf numFmtId="0" fontId="47" fillId="7" borderId="52" xfId="0" applyFont="1" applyFill="1" applyBorder="1" applyAlignment="1">
      <alignment horizontal="center" vertical="center"/>
    </xf>
    <xf numFmtId="0" fontId="47" fillId="7" borderId="48" xfId="0" applyFont="1" applyFill="1" applyBorder="1" applyAlignment="1">
      <alignment horizontal="center" vertical="center"/>
    </xf>
    <xf numFmtId="0" fontId="47" fillId="18" borderId="85" xfId="0" applyFont="1" applyFill="1" applyBorder="1" applyAlignment="1">
      <alignment horizontal="center" vertical="center"/>
    </xf>
    <xf numFmtId="0" fontId="47" fillId="18" borderId="77" xfId="0" applyFont="1" applyFill="1" applyBorder="1" applyAlignment="1">
      <alignment horizontal="center" vertical="center"/>
    </xf>
    <xf numFmtId="0" fontId="47" fillId="18" borderId="86" xfId="0" applyFont="1" applyFill="1" applyBorder="1" applyAlignment="1">
      <alignment horizontal="center" vertical="center"/>
    </xf>
    <xf numFmtId="0" fontId="47" fillId="7" borderId="76" xfId="0" applyFont="1" applyFill="1" applyBorder="1" applyAlignment="1">
      <alignment horizontal="center" vertical="center"/>
    </xf>
    <xf numFmtId="0" fontId="47" fillId="7" borderId="77" xfId="0" applyFont="1" applyFill="1" applyBorder="1" applyAlignment="1">
      <alignment horizontal="center" vertical="center"/>
    </xf>
    <xf numFmtId="0" fontId="47" fillId="7" borderId="78" xfId="0" applyFont="1" applyFill="1" applyBorder="1" applyAlignment="1">
      <alignment horizontal="center" vertical="center"/>
    </xf>
    <xf numFmtId="0" fontId="47" fillId="18" borderId="79" xfId="0" applyFont="1" applyFill="1" applyBorder="1" applyAlignment="1">
      <alignment horizontal="center" vertical="center"/>
    </xf>
    <xf numFmtId="0" fontId="47" fillId="18" borderId="80" xfId="0" applyFont="1" applyFill="1" applyBorder="1" applyAlignment="1">
      <alignment horizontal="center" vertical="center"/>
    </xf>
    <xf numFmtId="0" fontId="47" fillId="18" borderId="81" xfId="0" applyFont="1" applyFill="1" applyBorder="1" applyAlignment="1">
      <alignment horizontal="center" vertical="center"/>
    </xf>
    <xf numFmtId="0" fontId="47" fillId="19" borderId="26" xfId="0" applyFont="1" applyFill="1" applyBorder="1" applyAlignment="1">
      <alignment horizontal="center" vertical="center"/>
    </xf>
    <xf numFmtId="0" fontId="47" fillId="22" borderId="58" xfId="0" applyFont="1" applyFill="1" applyBorder="1" applyAlignment="1">
      <alignment horizontal="right" vertical="center"/>
    </xf>
    <xf numFmtId="0" fontId="47" fillId="22" borderId="0" xfId="0" applyFont="1" applyFill="1" applyBorder="1" applyAlignment="1">
      <alignment horizontal="right" vertical="center"/>
    </xf>
    <xf numFmtId="0" fontId="47" fillId="22" borderId="11" xfId="0" applyFont="1" applyFill="1" applyBorder="1" applyAlignment="1">
      <alignment horizontal="right" vertical="center"/>
    </xf>
    <xf numFmtId="0" fontId="76" fillId="0" borderId="27" xfId="0" applyFont="1" applyBorder="1" applyAlignment="1">
      <alignment horizontal="left" vertical="center"/>
    </xf>
    <xf numFmtId="0" fontId="47" fillId="18" borderId="28" xfId="0" applyFont="1" applyFill="1" applyBorder="1" applyAlignment="1">
      <alignment horizontal="center" vertical="center"/>
    </xf>
    <xf numFmtId="0" fontId="75" fillId="27" borderId="0" xfId="25" applyFont="1" applyFill="1" applyBorder="1" applyAlignment="1">
      <alignment horizontal="center" vertical="center" wrapText="1"/>
    </xf>
    <xf numFmtId="0" fontId="47" fillId="19" borderId="57" xfId="0" applyFont="1" applyFill="1" applyBorder="1" applyAlignment="1">
      <alignment horizontal="center" vertical="center"/>
    </xf>
    <xf numFmtId="0" fontId="47" fillId="19" borderId="52" xfId="0" applyFont="1" applyFill="1" applyBorder="1" applyAlignment="1">
      <alignment horizontal="center" vertical="center"/>
    </xf>
    <xf numFmtId="0" fontId="47" fillId="19" borderId="48" xfId="0" applyFont="1" applyFill="1" applyBorder="1" applyAlignment="1">
      <alignment horizontal="center" vertical="center"/>
    </xf>
    <xf numFmtId="0" fontId="47" fillId="0" borderId="45" xfId="0" applyFont="1" applyBorder="1" applyAlignment="1">
      <alignment horizontal="left" vertical="center"/>
    </xf>
    <xf numFmtId="0" fontId="47" fillId="0" borderId="46" xfId="0" applyFont="1" applyBorder="1" applyAlignment="1">
      <alignment horizontal="left" vertical="center"/>
    </xf>
    <xf numFmtId="0" fontId="47" fillId="0" borderId="47" xfId="0" applyFont="1" applyBorder="1" applyAlignment="1">
      <alignment horizontal="left" vertical="center"/>
    </xf>
    <xf numFmtId="0" fontId="47" fillId="0" borderId="57" xfId="0" applyFont="1" applyBorder="1" applyAlignment="1">
      <alignment horizontal="left" vertical="center"/>
    </xf>
    <xf numFmtId="0" fontId="47" fillId="0" borderId="52" xfId="0" applyFont="1" applyBorder="1" applyAlignment="1">
      <alignment horizontal="left" vertical="center"/>
    </xf>
    <xf numFmtId="0" fontId="47" fillId="0" borderId="48" xfId="0" applyFont="1" applyBorder="1" applyAlignment="1">
      <alignment horizontal="left" vertical="center"/>
    </xf>
    <xf numFmtId="0" fontId="48" fillId="0" borderId="26" xfId="0" applyFont="1" applyBorder="1" applyAlignment="1">
      <alignment horizontal="left" vertical="center"/>
    </xf>
    <xf numFmtId="0" fontId="47" fillId="50" borderId="26" xfId="0" applyFont="1" applyFill="1" applyBorder="1" applyAlignment="1">
      <alignment horizontal="center" vertical="center" wrapText="1"/>
    </xf>
    <xf numFmtId="0" fontId="47" fillId="0" borderId="44" xfId="0" applyFont="1" applyBorder="1" applyAlignment="1">
      <alignment horizontal="left" vertical="center"/>
    </xf>
    <xf numFmtId="0" fontId="47" fillId="0" borderId="57" xfId="0" applyFont="1" applyBorder="1" applyAlignment="1">
      <alignment horizontal="center" vertical="center"/>
    </xf>
    <xf numFmtId="0" fontId="47" fillId="0" borderId="52" xfId="0" applyFont="1" applyBorder="1" applyAlignment="1">
      <alignment horizontal="center" vertical="center"/>
    </xf>
    <xf numFmtId="0" fontId="47" fillId="0" borderId="48" xfId="0" applyFont="1" applyBorder="1" applyAlignment="1">
      <alignment horizontal="center" vertical="center"/>
    </xf>
    <xf numFmtId="0" fontId="47" fillId="0" borderId="28" xfId="0" applyFont="1" applyBorder="1" applyAlignment="1">
      <alignment horizontal="center" vertical="center"/>
    </xf>
    <xf numFmtId="0" fontId="28" fillId="13" borderId="1" xfId="0" applyFont="1" applyFill="1" applyBorder="1" applyAlignment="1">
      <alignment horizontal="right" vertical="center" wrapText="1"/>
    </xf>
    <xf numFmtId="0" fontId="27" fillId="9" borderId="1" xfId="0" applyFont="1" applyFill="1" applyBorder="1" applyAlignment="1">
      <alignment horizontal="center" vertical="center"/>
    </xf>
    <xf numFmtId="0" fontId="28" fillId="9" borderId="1" xfId="0" applyFont="1" applyFill="1" applyBorder="1" applyAlignment="1">
      <alignment horizontal="center" vertical="center" wrapText="1"/>
    </xf>
    <xf numFmtId="0" fontId="28" fillId="9" borderId="1" xfId="0" applyFont="1" applyFill="1" applyBorder="1" applyAlignment="1">
      <alignment horizontal="right" vertical="center"/>
    </xf>
    <xf numFmtId="0" fontId="28" fillId="13" borderId="1" xfId="0" applyFont="1" applyFill="1" applyBorder="1" applyAlignment="1">
      <alignment horizontal="right" vertical="center"/>
    </xf>
    <xf numFmtId="0" fontId="27" fillId="9" borderId="1" xfId="0" applyFont="1" applyFill="1" applyBorder="1" applyAlignment="1">
      <alignment horizontal="center" vertical="center" wrapText="1"/>
    </xf>
    <xf numFmtId="0" fontId="29" fillId="11" borderId="1" xfId="0" applyFont="1" applyFill="1" applyBorder="1" applyAlignment="1">
      <alignment horizontal="center" vertical="center" wrapText="1"/>
    </xf>
    <xf numFmtId="0" fontId="28" fillId="9" borderId="1" xfId="0" applyFont="1" applyFill="1" applyBorder="1" applyAlignment="1">
      <alignment horizontal="right" vertical="top"/>
    </xf>
    <xf numFmtId="0" fontId="32" fillId="15" borderId="1" xfId="0" applyFont="1" applyFill="1" applyBorder="1" applyAlignment="1">
      <alignment horizontal="center" vertical="top"/>
    </xf>
    <xf numFmtId="0" fontId="33" fillId="0" borderId="1" xfId="0" applyFont="1" applyBorder="1" applyAlignment="1">
      <alignment horizontal="center" vertical="top" wrapText="1"/>
    </xf>
    <xf numFmtId="0" fontId="33" fillId="13" borderId="1" xfId="0" applyFont="1" applyFill="1" applyBorder="1" applyAlignment="1">
      <alignment horizontal="center" vertical="top" wrapText="1"/>
    </xf>
    <xf numFmtId="0" fontId="0" fillId="13" borderId="5" xfId="0" applyFill="1" applyBorder="1"/>
    <xf numFmtId="0" fontId="0" fillId="0" borderId="0" xfId="0"/>
    <xf numFmtId="0" fontId="33" fillId="13" borderId="1" xfId="0" applyFont="1" applyFill="1" applyBorder="1" applyAlignment="1">
      <alignment horizontal="center" vertical="top"/>
    </xf>
    <xf numFmtId="0" fontId="33" fillId="0" borderId="1" xfId="0" applyFont="1" applyBorder="1" applyAlignment="1">
      <alignment horizontal="center" vertical="top"/>
    </xf>
    <xf numFmtId="0" fontId="78" fillId="0" borderId="5" xfId="0" applyFont="1" applyBorder="1" applyAlignment="1">
      <alignment horizontal="right" vertical="center"/>
    </xf>
    <xf numFmtId="0" fontId="78" fillId="0" borderId="2" xfId="0" applyFont="1" applyBorder="1" applyAlignment="1">
      <alignment horizontal="right" vertical="center"/>
    </xf>
    <xf numFmtId="0" fontId="78" fillId="0" borderId="8" xfId="0" applyFont="1" applyBorder="1" applyAlignment="1">
      <alignment horizontal="right" vertical="center"/>
    </xf>
    <xf numFmtId="0" fontId="78" fillId="18" borderId="5" xfId="0" applyFont="1" applyFill="1" applyBorder="1" applyAlignment="1">
      <alignment horizontal="right" vertical="center"/>
    </xf>
    <xf numFmtId="0" fontId="78" fillId="18" borderId="2" xfId="0" applyFont="1" applyFill="1" applyBorder="1" applyAlignment="1">
      <alignment horizontal="right" vertical="center"/>
    </xf>
    <xf numFmtId="0" fontId="78" fillId="18" borderId="8" xfId="0" applyFont="1" applyFill="1" applyBorder="1" applyAlignment="1">
      <alignment horizontal="right" vertical="center"/>
    </xf>
    <xf numFmtId="0" fontId="78" fillId="51" borderId="64" xfId="0" applyFont="1" applyFill="1" applyBorder="1" applyAlignment="1">
      <alignment horizontal="center" vertical="center"/>
    </xf>
    <xf numFmtId="0" fontId="78" fillId="51" borderId="65" xfId="0" applyFont="1" applyFill="1" applyBorder="1" applyAlignment="1">
      <alignment horizontal="center" vertical="center"/>
    </xf>
    <xf numFmtId="0" fontId="66" fillId="0" borderId="0" xfId="0" applyFont="1" applyAlignment="1">
      <alignment horizontal="left" vertical="top" wrapText="1"/>
    </xf>
    <xf numFmtId="0" fontId="78" fillId="32" borderId="5" xfId="0" applyFont="1" applyFill="1" applyBorder="1" applyAlignment="1">
      <alignment horizontal="right" vertical="center"/>
    </xf>
    <xf numFmtId="0" fontId="78" fillId="32" borderId="2" xfId="0" applyFont="1" applyFill="1" applyBorder="1" applyAlignment="1">
      <alignment horizontal="right" vertical="center"/>
    </xf>
    <xf numFmtId="0" fontId="78" fillId="32" borderId="8" xfId="0" applyFont="1" applyFill="1" applyBorder="1" applyAlignment="1">
      <alignment horizontal="right" vertical="center"/>
    </xf>
    <xf numFmtId="0" fontId="66" fillId="0" borderId="0" xfId="0" applyFont="1" applyAlignment="1">
      <alignment horizontal="left" vertical="top"/>
    </xf>
    <xf numFmtId="0" fontId="41" fillId="0" borderId="0" xfId="0" applyFont="1" applyAlignment="1">
      <alignment horizontal="justify" wrapText="1"/>
    </xf>
    <xf numFmtId="49" fontId="41" fillId="0" borderId="0" xfId="0" applyNumberFormat="1" applyFont="1" applyAlignment="1">
      <alignment horizontal="justify"/>
    </xf>
    <xf numFmtId="0" fontId="0" fillId="9" borderId="0" xfId="0" applyFill="1"/>
    <xf numFmtId="4" fontId="20" fillId="9" borderId="1" xfId="2" applyNumberFormat="1" applyFont="1" applyFill="1" applyBorder="1" applyAlignment="1">
      <alignment horizontal="center" vertical="center"/>
    </xf>
    <xf numFmtId="0" fontId="21" fillId="17" borderId="1" xfId="0" applyFont="1" applyFill="1" applyBorder="1" applyAlignment="1">
      <alignment horizontal="right" vertical="center"/>
    </xf>
    <xf numFmtId="0" fontId="38" fillId="17" borderId="1" xfId="0" applyFont="1" applyFill="1" applyBorder="1" applyAlignment="1">
      <alignment horizontal="right" vertical="center" wrapText="1"/>
    </xf>
    <xf numFmtId="0" fontId="10" fillId="0" borderId="0" xfId="0" applyFont="1" applyAlignment="1">
      <alignment horizontal="left" vertical="top" wrapText="1"/>
    </xf>
    <xf numFmtId="0" fontId="21" fillId="7" borderId="1" xfId="0" applyFont="1" applyFill="1" applyBorder="1" applyAlignment="1">
      <alignment horizontal="center" vertical="center" wrapText="1"/>
    </xf>
    <xf numFmtId="0" fontId="12" fillId="7" borderId="1" xfId="0" applyFont="1" applyFill="1" applyBorder="1" applyAlignment="1">
      <alignment horizontal="justify" vertical="center" wrapText="1"/>
    </xf>
    <xf numFmtId="0" fontId="19" fillId="7" borderId="1" xfId="0" applyFont="1" applyFill="1" applyBorder="1" applyAlignment="1">
      <alignment horizontal="center" vertical="center" wrapText="1"/>
    </xf>
    <xf numFmtId="0" fontId="0" fillId="6" borderId="1" xfId="0" applyFill="1" applyBorder="1"/>
    <xf numFmtId="4" fontId="21" fillId="6" borderId="1" xfId="2" applyNumberFormat="1" applyFont="1" applyFill="1" applyBorder="1" applyAlignment="1">
      <alignment horizontal="center" vertical="center"/>
    </xf>
    <xf numFmtId="0" fontId="21" fillId="9" borderId="1" xfId="0" applyFont="1" applyFill="1" applyBorder="1" applyAlignment="1">
      <alignment horizontal="center" vertical="center" wrapText="1"/>
    </xf>
    <xf numFmtId="0" fontId="12" fillId="9" borderId="1" xfId="0" applyFont="1" applyFill="1" applyBorder="1" applyAlignment="1">
      <alignment horizontal="justify" vertical="center" wrapText="1"/>
    </xf>
    <xf numFmtId="0" fontId="19" fillId="9" borderId="1" xfId="0" applyFont="1" applyFill="1" applyBorder="1" applyAlignment="1">
      <alignment horizontal="center" vertical="center" wrapText="1"/>
    </xf>
    <xf numFmtId="0" fontId="10" fillId="7" borderId="1" xfId="0" applyFont="1" applyFill="1" applyBorder="1" applyAlignment="1">
      <alignment horizontal="justify" vertical="center" wrapText="1"/>
    </xf>
    <xf numFmtId="0" fontId="13" fillId="16" borderId="1" xfId="0" applyFont="1" applyFill="1" applyBorder="1" applyAlignment="1">
      <alignment horizontal="center" vertical="top" wrapText="1"/>
    </xf>
    <xf numFmtId="0" fontId="22" fillId="10" borderId="1" xfId="0" applyFont="1" applyFill="1" applyBorder="1" applyAlignment="1">
      <alignment horizontal="center" vertical="top" wrapText="1"/>
    </xf>
    <xf numFmtId="0" fontId="11" fillId="6" borderId="1" xfId="0" applyFont="1" applyFill="1" applyBorder="1" applyAlignment="1">
      <alignment horizontal="center" vertical="center" wrapText="1"/>
    </xf>
    <xf numFmtId="0" fontId="19" fillId="9" borderId="1" xfId="0" applyFont="1" applyFill="1" applyBorder="1" applyAlignment="1">
      <alignment horizontal="center" vertical="top" wrapText="1"/>
    </xf>
    <xf numFmtId="0" fontId="41" fillId="9" borderId="0" xfId="0" applyFont="1" applyFill="1" applyAlignment="1">
      <alignment horizontal="left" vertical="center"/>
    </xf>
    <xf numFmtId="0" fontId="43" fillId="9" borderId="1" xfId="0" applyFont="1" applyFill="1" applyBorder="1" applyAlignment="1">
      <alignment horizontal="right" vertical="center" wrapText="1"/>
    </xf>
    <xf numFmtId="0" fontId="43" fillId="9" borderId="1" xfId="0" applyFont="1" applyFill="1" applyBorder="1" applyAlignment="1">
      <alignment horizontal="right" vertical="center"/>
    </xf>
    <xf numFmtId="0" fontId="41" fillId="9" borderId="9" xfId="0" applyFont="1" applyFill="1" applyBorder="1" applyAlignment="1">
      <alignment horizontal="left" vertical="center" wrapText="1"/>
    </xf>
    <xf numFmtId="0" fontId="41" fillId="9" borderId="0" xfId="0" applyFont="1" applyFill="1" applyAlignment="1">
      <alignment horizontal="left" vertical="center" wrapText="1"/>
    </xf>
    <xf numFmtId="174" fontId="21" fillId="6" borderId="1" xfId="2" applyNumberFormat="1" applyFont="1" applyFill="1" applyBorder="1" applyAlignment="1">
      <alignment horizontal="center" vertical="center" wrapText="1"/>
    </xf>
    <xf numFmtId="4" fontId="21" fillId="9" borderId="1" xfId="2" applyNumberFormat="1" applyFont="1" applyFill="1" applyBorder="1" applyAlignment="1">
      <alignment horizontal="center" vertical="center"/>
    </xf>
    <xf numFmtId="174" fontId="21" fillId="9" borderId="1" xfId="2" applyNumberFormat="1" applyFont="1" applyFill="1" applyBorder="1" applyAlignment="1">
      <alignment horizontal="center" vertical="center" wrapText="1"/>
    </xf>
    <xf numFmtId="0" fontId="12" fillId="9" borderId="1"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3" fillId="16" borderId="1" xfId="0" applyFont="1" applyFill="1" applyBorder="1" applyAlignment="1">
      <alignment horizontal="center" vertical="center"/>
    </xf>
    <xf numFmtId="0" fontId="21" fillId="6" borderId="1" xfId="0" applyFont="1" applyFill="1" applyBorder="1" applyAlignment="1">
      <alignment horizontal="center" vertical="center" wrapText="1"/>
    </xf>
    <xf numFmtId="173" fontId="21" fillId="10" borderId="1" xfId="2" applyFont="1" applyFill="1" applyBorder="1" applyAlignment="1">
      <alignment horizontal="center" vertical="top" wrapText="1"/>
    </xf>
    <xf numFmtId="10" fontId="49" fillId="33" borderId="40" xfId="3" applyNumberFormat="1" applyFont="1" applyFill="1" applyBorder="1" applyAlignment="1">
      <alignment horizontal="center" vertical="center"/>
    </xf>
  </cellXfs>
  <cellStyles count="29">
    <cellStyle name="cf1" xfId="4" xr:uid="{00000000-0005-0000-0000-000000000000}"/>
    <cellStyle name="cf10" xfId="5" xr:uid="{00000000-0005-0000-0000-000001000000}"/>
    <cellStyle name="cf11" xfId="6" xr:uid="{00000000-0005-0000-0000-000002000000}"/>
    <cellStyle name="cf12" xfId="7" xr:uid="{00000000-0005-0000-0000-000003000000}"/>
    <cellStyle name="cf13" xfId="8" xr:uid="{00000000-0005-0000-0000-000004000000}"/>
    <cellStyle name="cf2" xfId="9" xr:uid="{00000000-0005-0000-0000-000005000000}"/>
    <cellStyle name="cf3" xfId="10" xr:uid="{00000000-0005-0000-0000-000006000000}"/>
    <cellStyle name="cf4" xfId="11" xr:uid="{00000000-0005-0000-0000-000007000000}"/>
    <cellStyle name="cf5" xfId="12" xr:uid="{00000000-0005-0000-0000-000008000000}"/>
    <cellStyle name="cf6" xfId="13" xr:uid="{00000000-0005-0000-0000-000009000000}"/>
    <cellStyle name="cf7" xfId="14" xr:uid="{00000000-0005-0000-0000-00000A000000}"/>
    <cellStyle name="cf8" xfId="15" xr:uid="{00000000-0005-0000-0000-00000B000000}"/>
    <cellStyle name="cf9" xfId="16" xr:uid="{00000000-0005-0000-0000-00000C000000}"/>
    <cellStyle name="Heading" xfId="17" xr:uid="{00000000-0005-0000-0000-00000D000000}"/>
    <cellStyle name="Heading1" xfId="18" xr:uid="{00000000-0005-0000-0000-00000E000000}"/>
    <cellStyle name="Hiperlink" xfId="19" xr:uid="{00000000-0005-0000-0000-00000F000000}"/>
    <cellStyle name="Item" xfId="20" xr:uid="{00000000-0005-0000-0000-000010000000}"/>
    <cellStyle name="Moeda" xfId="2" builtinId="4" customBuiltin="1"/>
    <cellStyle name="Moeda 2" xfId="26" xr:uid="{00000000-0005-0000-0000-000044000000}"/>
    <cellStyle name="Normal" xfId="0" builtinId="0" customBuiltin="1"/>
    <cellStyle name="Normal 2" xfId="25" xr:uid="{00000000-0005-0000-0000-000045000000}"/>
    <cellStyle name="Normal 2 2" xfId="27" xr:uid="{00000000-0005-0000-0000-000045000000}"/>
    <cellStyle name="ObsSIMPLES" xfId="21" xr:uid="{00000000-0005-0000-0000-000013000000}"/>
    <cellStyle name="Porcentagem" xfId="3" builtinId="5" customBuiltin="1"/>
    <cellStyle name="Porcentagem 2" xfId="28" xr:uid="{95818B30-C49D-47B4-80A5-59ED78111AD4}"/>
    <cellStyle name="Result" xfId="22" xr:uid="{00000000-0005-0000-0000-000015000000}"/>
    <cellStyle name="Result2" xfId="23" xr:uid="{00000000-0005-0000-0000-000016000000}"/>
    <cellStyle name="Valor Texto Editável" xfId="24" xr:uid="{00000000-0005-0000-0000-000017000000}"/>
    <cellStyle name="Vírgula" xfId="1" builtinId="3" customBuiltin="1"/>
  </cellStyles>
  <dxfs count="0"/>
  <tableStyles count="0" defaultTableStyle="TableStyleMedium2" defaultPivotStyle="PivotStyleLight16"/>
  <colors>
    <mruColors>
      <color rgb="FFFCFE9E"/>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12"/>
  <sheetViews>
    <sheetView workbookViewId="0"/>
  </sheetViews>
  <sheetFormatPr defaultRowHeight="14.25" customHeight="1"/>
  <cols>
    <col min="1" max="1" width="160.28515625" style="2" customWidth="1"/>
    <col min="2" max="256" width="14.85546875" style="2" customWidth="1"/>
    <col min="257" max="257" width="146" style="2" customWidth="1"/>
    <col min="258" max="512" width="14.85546875" style="2" customWidth="1"/>
    <col min="513" max="513" width="146" style="2" customWidth="1"/>
    <col min="514" max="768" width="14.85546875" style="2" customWidth="1"/>
    <col min="769" max="769" width="146" style="2" customWidth="1"/>
    <col min="770" max="1024" width="14.85546875" style="2" customWidth="1"/>
    <col min="1025" max="1025" width="9.140625" customWidth="1"/>
  </cols>
  <sheetData>
    <row r="1" spans="1:1" ht="25.35" customHeight="1">
      <c r="A1" s="1" t="s">
        <v>0</v>
      </c>
    </row>
    <row r="2" spans="1:1" s="4" customFormat="1" ht="26.45" customHeight="1">
      <c r="A2" s="3" t="s">
        <v>1</v>
      </c>
    </row>
    <row r="3" spans="1:1" s="4" customFormat="1" ht="76.150000000000006" customHeight="1">
      <c r="A3" s="5" t="s">
        <v>2</v>
      </c>
    </row>
    <row r="4" spans="1:1" s="4" customFormat="1" ht="55.15" customHeight="1">
      <c r="A4" s="5" t="s">
        <v>3</v>
      </c>
    </row>
    <row r="5" spans="1:1" s="4" customFormat="1" ht="174.6" customHeight="1">
      <c r="A5" s="5" t="s">
        <v>4</v>
      </c>
    </row>
    <row r="6" spans="1:1" s="4" customFormat="1" ht="72.599999999999994" customHeight="1">
      <c r="A6" s="6" t="s">
        <v>5</v>
      </c>
    </row>
    <row r="7" spans="1:1" s="4" customFormat="1" ht="85.15" customHeight="1">
      <c r="A7" s="7" t="s">
        <v>6</v>
      </c>
    </row>
    <row r="8" spans="1:1" s="4" customFormat="1" ht="33.6" customHeight="1">
      <c r="A8" s="5" t="s">
        <v>7</v>
      </c>
    </row>
    <row r="9" spans="1:1" s="4" customFormat="1" ht="69.599999999999994" customHeight="1">
      <c r="A9" s="5" t="s">
        <v>8</v>
      </c>
    </row>
    <row r="10" spans="1:1" s="4" customFormat="1" ht="30.6" customHeight="1">
      <c r="A10" s="5" t="s">
        <v>9</v>
      </c>
    </row>
    <row r="11" spans="1:1" s="4" customFormat="1" ht="100.15" customHeight="1">
      <c r="A11" s="5" t="s">
        <v>10</v>
      </c>
    </row>
    <row r="12" spans="1:1" ht="58.15" customHeight="1">
      <c r="A12" s="5" t="s">
        <v>11</v>
      </c>
    </row>
  </sheetData>
  <printOptions horizontalCentered="1" verticalCentered="1"/>
  <pageMargins left="0.25" right="0.25" top="0.75" bottom="0.75" header="0.30000000000000004" footer="0.30000000000000004"/>
  <pageSetup paperSize="0" fitToWidth="0" fitToHeight="0" orientation="landscape"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715A0-D4B7-4C48-AB99-589DA8542C19}">
  <sheetPr>
    <pageSetUpPr fitToPage="1"/>
  </sheetPr>
  <dimension ref="A1:G27"/>
  <sheetViews>
    <sheetView showGridLines="0" workbookViewId="0">
      <selection activeCell="L12" sqref="L12"/>
    </sheetView>
  </sheetViews>
  <sheetFormatPr defaultRowHeight="15"/>
  <cols>
    <col min="1" max="1" width="6.7109375" customWidth="1"/>
    <col min="2" max="2" width="42.5703125" customWidth="1"/>
    <col min="3" max="3" width="8.7109375" customWidth="1"/>
    <col min="4" max="4" width="11.42578125" customWidth="1"/>
    <col min="5" max="5" width="13.28515625" customWidth="1"/>
    <col min="6" max="6" width="15.7109375" customWidth="1"/>
  </cols>
  <sheetData>
    <row r="1" spans="1:7" ht="27" customHeight="1">
      <c r="A1" s="760" t="s">
        <v>359</v>
      </c>
      <c r="B1" s="761"/>
      <c r="C1" s="761"/>
      <c r="D1" s="761"/>
      <c r="E1" s="761"/>
      <c r="F1" s="761"/>
    </row>
    <row r="2" spans="1:7" ht="59.25" customHeight="1">
      <c r="A2" s="347" t="s">
        <v>39</v>
      </c>
      <c r="B2" s="347" t="s">
        <v>43</v>
      </c>
      <c r="C2" s="347" t="s">
        <v>164</v>
      </c>
      <c r="D2" s="347" t="s">
        <v>360</v>
      </c>
      <c r="E2" s="347" t="s">
        <v>470</v>
      </c>
      <c r="F2" s="347" t="s">
        <v>452</v>
      </c>
    </row>
    <row r="3" spans="1:7" ht="35.25" customHeight="1">
      <c r="A3" s="338">
        <v>1</v>
      </c>
      <c r="B3" s="341" t="s">
        <v>361</v>
      </c>
      <c r="C3" s="339" t="s">
        <v>362</v>
      </c>
      <c r="D3" s="339">
        <v>3</v>
      </c>
      <c r="E3" s="473">
        <v>111.85</v>
      </c>
      <c r="F3" s="342">
        <f>D3*E3</f>
        <v>335.54999999999995</v>
      </c>
      <c r="G3" s="224"/>
    </row>
    <row r="4" spans="1:7" ht="35.25" customHeight="1">
      <c r="A4" s="340">
        <v>2</v>
      </c>
      <c r="B4" s="343" t="s">
        <v>363</v>
      </c>
      <c r="C4" s="339" t="s">
        <v>362</v>
      </c>
      <c r="D4" s="344">
        <v>3</v>
      </c>
      <c r="E4" s="474">
        <v>66.53</v>
      </c>
      <c r="F4" s="342">
        <f t="shared" ref="F4:F10" si="0">D4*E4</f>
        <v>199.59</v>
      </c>
    </row>
    <row r="5" spans="1:7" ht="35.25" customHeight="1">
      <c r="A5" s="340">
        <v>3</v>
      </c>
      <c r="B5" s="343" t="s">
        <v>364</v>
      </c>
      <c r="C5" s="339" t="s">
        <v>362</v>
      </c>
      <c r="D5" s="344">
        <v>2</v>
      </c>
      <c r="E5" s="474">
        <v>137.31</v>
      </c>
      <c r="F5" s="342">
        <f t="shared" si="0"/>
        <v>274.62</v>
      </c>
    </row>
    <row r="6" spans="1:7" ht="35.25" customHeight="1">
      <c r="A6" s="340">
        <v>4</v>
      </c>
      <c r="B6" s="343" t="s">
        <v>365</v>
      </c>
      <c r="C6" s="339" t="s">
        <v>362</v>
      </c>
      <c r="D6" s="344">
        <v>1</v>
      </c>
      <c r="E6" s="474">
        <v>17.059999999999999</v>
      </c>
      <c r="F6" s="342">
        <f t="shared" si="0"/>
        <v>17.059999999999999</v>
      </c>
    </row>
    <row r="7" spans="1:7" ht="35.25" customHeight="1">
      <c r="A7" s="340">
        <v>5</v>
      </c>
      <c r="B7" s="343" t="s">
        <v>366</v>
      </c>
      <c r="C7" s="339" t="s">
        <v>362</v>
      </c>
      <c r="D7" s="458">
        <v>2</v>
      </c>
      <c r="E7" s="474">
        <v>38.659999999999997</v>
      </c>
      <c r="F7" s="342">
        <f t="shared" si="0"/>
        <v>77.319999999999993</v>
      </c>
    </row>
    <row r="8" spans="1:7" ht="35.25" customHeight="1">
      <c r="A8" s="340">
        <v>6</v>
      </c>
      <c r="B8" s="343" t="s">
        <v>367</v>
      </c>
      <c r="C8" s="339" t="s">
        <v>362</v>
      </c>
      <c r="D8" s="344">
        <v>1</v>
      </c>
      <c r="E8" s="474">
        <v>20.85</v>
      </c>
      <c r="F8" s="342">
        <f t="shared" si="0"/>
        <v>20.85</v>
      </c>
    </row>
    <row r="9" spans="1:7" ht="35.25" customHeight="1">
      <c r="A9" s="340">
        <v>7</v>
      </c>
      <c r="B9" s="343" t="s">
        <v>368</v>
      </c>
      <c r="C9" s="339" t="s">
        <v>362</v>
      </c>
      <c r="D9" s="344">
        <v>1</v>
      </c>
      <c r="E9" s="474">
        <v>7.95</v>
      </c>
      <c r="F9" s="342">
        <f t="shared" si="0"/>
        <v>7.95</v>
      </c>
    </row>
    <row r="10" spans="1:7" ht="35.25" customHeight="1">
      <c r="A10" s="340">
        <v>8</v>
      </c>
      <c r="B10" s="343" t="s">
        <v>369</v>
      </c>
      <c r="C10" s="339" t="s">
        <v>362</v>
      </c>
      <c r="D10" s="344">
        <v>4</v>
      </c>
      <c r="E10" s="474">
        <v>9.2230000000000008</v>
      </c>
      <c r="F10" s="342">
        <f t="shared" si="0"/>
        <v>36.892000000000003</v>
      </c>
    </row>
    <row r="11" spans="1:7" ht="35.25" customHeight="1">
      <c r="A11" s="754" t="s">
        <v>413</v>
      </c>
      <c r="B11" s="755"/>
      <c r="C11" s="755"/>
      <c r="D11" s="755"/>
      <c r="E11" s="756"/>
      <c r="F11" s="345">
        <f>SUM(F3:F10)</f>
        <v>969.83199999999999</v>
      </c>
    </row>
    <row r="12" spans="1:7" ht="35.25" customHeight="1">
      <c r="A12" s="757" t="s">
        <v>453</v>
      </c>
      <c r="B12" s="758"/>
      <c r="C12" s="758"/>
      <c r="D12" s="758"/>
      <c r="E12" s="759"/>
      <c r="F12" s="346">
        <f>F11/12</f>
        <v>80.819333333333333</v>
      </c>
    </row>
    <row r="13" spans="1:7" ht="20.25" customHeight="1">
      <c r="A13" s="223"/>
      <c r="B13" s="223"/>
      <c r="C13" s="223"/>
      <c r="D13" s="223"/>
      <c r="E13" s="223"/>
      <c r="F13" s="223"/>
    </row>
    <row r="14" spans="1:7" ht="20.25" customHeight="1">
      <c r="A14" s="223"/>
      <c r="B14" s="223"/>
      <c r="C14" s="223"/>
      <c r="D14" s="223"/>
      <c r="E14" s="223"/>
      <c r="F14" s="223"/>
    </row>
    <row r="15" spans="1:7" ht="20.25" customHeight="1">
      <c r="A15" s="223"/>
      <c r="B15" s="223"/>
      <c r="C15" s="223"/>
      <c r="D15" s="223"/>
      <c r="E15" s="223"/>
      <c r="F15" s="223"/>
    </row>
    <row r="16" spans="1:7" ht="20.25" customHeight="1">
      <c r="A16" s="223"/>
      <c r="B16" s="223"/>
      <c r="C16" s="223"/>
      <c r="D16" s="223"/>
      <c r="E16" s="223"/>
      <c r="F16" s="223"/>
    </row>
    <row r="17" spans="1:6" ht="20.25" customHeight="1">
      <c r="A17" s="223"/>
      <c r="B17" s="223"/>
      <c r="C17" s="223"/>
      <c r="D17" s="223"/>
      <c r="E17" s="223"/>
      <c r="F17" s="223"/>
    </row>
    <row r="18" spans="1:6" ht="20.25" customHeight="1">
      <c r="A18" s="223"/>
      <c r="B18" s="223"/>
      <c r="C18" s="223"/>
      <c r="D18" s="223"/>
      <c r="E18" s="223"/>
      <c r="F18" s="223"/>
    </row>
    <row r="19" spans="1:6" ht="20.25" customHeight="1">
      <c r="A19" s="223"/>
      <c r="B19" s="223"/>
      <c r="C19" s="223"/>
      <c r="D19" s="223"/>
      <c r="E19" s="223"/>
      <c r="F19" s="223"/>
    </row>
    <row r="20" spans="1:6" ht="20.25" customHeight="1">
      <c r="A20" s="223"/>
      <c r="B20" s="223"/>
      <c r="C20" s="223"/>
      <c r="D20" s="223"/>
      <c r="E20" s="223"/>
      <c r="F20" s="223"/>
    </row>
    <row r="21" spans="1:6" ht="20.25" customHeight="1">
      <c r="A21" s="223"/>
      <c r="B21" s="223"/>
      <c r="C21" s="223"/>
      <c r="D21" s="223"/>
      <c r="E21" s="223"/>
      <c r="F21" s="223"/>
    </row>
    <row r="22" spans="1:6" ht="20.25" customHeight="1">
      <c r="A22" s="223"/>
      <c r="B22" s="223"/>
      <c r="C22" s="223"/>
      <c r="D22" s="223"/>
      <c r="E22" s="223"/>
      <c r="F22" s="223"/>
    </row>
    <row r="23" spans="1:6" ht="20.25" customHeight="1">
      <c r="A23" s="223"/>
      <c r="B23" s="223"/>
      <c r="C23" s="223"/>
      <c r="D23" s="223"/>
      <c r="E23" s="223"/>
      <c r="F23" s="223"/>
    </row>
    <row r="24" spans="1:6" ht="20.25" customHeight="1">
      <c r="A24" s="223"/>
      <c r="B24" s="223"/>
      <c r="C24" s="223"/>
      <c r="D24" s="223"/>
      <c r="E24" s="223"/>
      <c r="F24" s="223"/>
    </row>
    <row r="25" spans="1:6" ht="20.25" customHeight="1">
      <c r="A25" s="223"/>
      <c r="B25" s="223"/>
      <c r="C25" s="223"/>
      <c r="D25" s="223"/>
      <c r="E25" s="223"/>
      <c r="F25" s="223"/>
    </row>
    <row r="26" spans="1:6" ht="20.25" customHeight="1">
      <c r="A26" s="223"/>
      <c r="B26" s="223"/>
      <c r="C26" s="223"/>
      <c r="D26" s="223"/>
      <c r="E26" s="223"/>
      <c r="F26" s="223"/>
    </row>
    <row r="27" spans="1:6" ht="20.25" customHeight="1">
      <c r="A27" s="223"/>
      <c r="B27" s="223"/>
      <c r="C27" s="223"/>
      <c r="D27" s="223"/>
      <c r="E27" s="223"/>
      <c r="F27" s="223"/>
    </row>
  </sheetData>
  <mergeCells count="3">
    <mergeCell ref="A11:E11"/>
    <mergeCell ref="A12:E12"/>
    <mergeCell ref="A1:F1"/>
  </mergeCells>
  <pageMargins left="0.70866141732283472" right="0.70866141732283472" top="0.74803149606299213" bottom="0.74803149606299213" header="0.31496062992125984" footer="0.31496062992125984"/>
  <pageSetup paperSize="9" scale="88" fitToHeight="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9D08D-A44F-45F0-9321-1B4A3F210CDA}">
  <sheetPr>
    <pageSetUpPr fitToPage="1"/>
  </sheetPr>
  <dimension ref="A1:G20"/>
  <sheetViews>
    <sheetView showGridLines="0" zoomScale="85" zoomScaleNormal="85" workbookViewId="0">
      <selection activeCell="P7" sqref="P7"/>
    </sheetView>
  </sheetViews>
  <sheetFormatPr defaultRowHeight="15"/>
  <cols>
    <col min="1" max="1" width="6.85546875" style="348" customWidth="1"/>
    <col min="2" max="2" width="41.42578125" style="348" customWidth="1"/>
    <col min="3" max="3" width="10.28515625" style="348" customWidth="1"/>
    <col min="4" max="4" width="10.7109375" style="348" customWidth="1"/>
    <col min="5" max="5" width="17.7109375" style="348" customWidth="1"/>
    <col min="6" max="6" width="10.7109375" style="348" customWidth="1"/>
    <col min="7" max="7" width="16.140625" style="348" customWidth="1"/>
    <col min="8" max="16384" width="9.140625" style="348"/>
  </cols>
  <sheetData>
    <row r="1" spans="1:7" ht="33.75" customHeight="1">
      <c r="A1" s="760" t="s">
        <v>459</v>
      </c>
      <c r="B1" s="761"/>
      <c r="C1" s="761"/>
      <c r="D1" s="761"/>
      <c r="E1" s="761"/>
      <c r="F1" s="761"/>
      <c r="G1" s="761"/>
    </row>
    <row r="2" spans="1:7" ht="57.75" customHeight="1">
      <c r="A2" s="337" t="s">
        <v>39</v>
      </c>
      <c r="B2" s="337" t="s">
        <v>43</v>
      </c>
      <c r="C2" s="337" t="s">
        <v>164</v>
      </c>
      <c r="D2" s="337" t="s">
        <v>414</v>
      </c>
      <c r="E2" s="337" t="s">
        <v>469</v>
      </c>
      <c r="F2" s="337" t="s">
        <v>415</v>
      </c>
      <c r="G2" s="337" t="s">
        <v>436</v>
      </c>
    </row>
    <row r="3" spans="1:7" ht="35.25" customHeight="1">
      <c r="A3" s="338">
        <v>1</v>
      </c>
      <c r="B3" s="350" t="s">
        <v>370</v>
      </c>
      <c r="C3" s="339" t="s">
        <v>362</v>
      </c>
      <c r="D3" s="339">
        <v>1</v>
      </c>
      <c r="E3" s="473">
        <v>4782.37</v>
      </c>
      <c r="F3" s="339">
        <v>120</v>
      </c>
      <c r="G3" s="342">
        <f t="shared" ref="G3:G14" si="0">(D3*E3)/F3</f>
        <v>39.853083333333331</v>
      </c>
    </row>
    <row r="4" spans="1:7" ht="54" customHeight="1">
      <c r="A4" s="340">
        <v>2</v>
      </c>
      <c r="B4" s="351" t="s">
        <v>371</v>
      </c>
      <c r="C4" s="339" t="s">
        <v>362</v>
      </c>
      <c r="D4" s="458">
        <v>4</v>
      </c>
      <c r="E4" s="474">
        <v>15.68</v>
      </c>
      <c r="F4" s="339">
        <v>6</v>
      </c>
      <c r="G4" s="342">
        <f t="shared" si="0"/>
        <v>10.453333333333333</v>
      </c>
    </row>
    <row r="5" spans="1:7" ht="35.25" customHeight="1">
      <c r="A5" s="340">
        <v>3</v>
      </c>
      <c r="B5" s="351" t="s">
        <v>372</v>
      </c>
      <c r="C5" s="339" t="s">
        <v>362</v>
      </c>
      <c r="D5" s="344">
        <v>1</v>
      </c>
      <c r="E5" s="475">
        <v>110.56</v>
      </c>
      <c r="F5" s="339">
        <v>30</v>
      </c>
      <c r="G5" s="342">
        <f t="shared" si="0"/>
        <v>3.6853333333333333</v>
      </c>
    </row>
    <row r="6" spans="1:7" ht="35.25" customHeight="1">
      <c r="A6" s="340">
        <v>4</v>
      </c>
      <c r="B6" s="351" t="s">
        <v>373</v>
      </c>
      <c r="C6" s="339" t="s">
        <v>362</v>
      </c>
      <c r="D6" s="344">
        <v>1</v>
      </c>
      <c r="E6" s="474">
        <v>1334</v>
      </c>
      <c r="F6" s="339">
        <v>60</v>
      </c>
      <c r="G6" s="342">
        <f t="shared" si="0"/>
        <v>22.233333333333334</v>
      </c>
    </row>
    <row r="7" spans="1:7" ht="35.25" customHeight="1">
      <c r="A7" s="340">
        <v>5</v>
      </c>
      <c r="B7" s="351" t="s">
        <v>374</v>
      </c>
      <c r="C7" s="339" t="s">
        <v>362</v>
      </c>
      <c r="D7" s="344">
        <v>1</v>
      </c>
      <c r="E7" s="474">
        <v>68.28</v>
      </c>
      <c r="F7" s="339">
        <v>30</v>
      </c>
      <c r="G7" s="342">
        <f t="shared" si="0"/>
        <v>2.2760000000000002</v>
      </c>
    </row>
    <row r="8" spans="1:7" ht="35.25" customHeight="1">
      <c r="A8" s="340">
        <v>6</v>
      </c>
      <c r="B8" s="351" t="s">
        <v>375</v>
      </c>
      <c r="C8" s="339" t="s">
        <v>362</v>
      </c>
      <c r="D8" s="344">
        <v>1</v>
      </c>
      <c r="E8" s="475">
        <v>156.9</v>
      </c>
      <c r="F8" s="339">
        <v>30</v>
      </c>
      <c r="G8" s="342">
        <f t="shared" si="0"/>
        <v>5.23</v>
      </c>
    </row>
    <row r="9" spans="1:7" ht="35.25" customHeight="1">
      <c r="A9" s="340">
        <v>7</v>
      </c>
      <c r="B9" s="351" t="s">
        <v>376</v>
      </c>
      <c r="C9" s="339" t="s">
        <v>362</v>
      </c>
      <c r="D9" s="344">
        <v>1</v>
      </c>
      <c r="E9" s="474">
        <v>96.783000000000001</v>
      </c>
      <c r="F9" s="339">
        <v>30</v>
      </c>
      <c r="G9" s="342">
        <f t="shared" si="0"/>
        <v>3.2261000000000002</v>
      </c>
    </row>
    <row r="10" spans="1:7" ht="35.25" customHeight="1">
      <c r="A10" s="340">
        <v>8</v>
      </c>
      <c r="B10" s="351" t="s">
        <v>377</v>
      </c>
      <c r="C10" s="339" t="s">
        <v>362</v>
      </c>
      <c r="D10" s="344">
        <v>1</v>
      </c>
      <c r="E10" s="475">
        <v>38.200000000000003</v>
      </c>
      <c r="F10" s="339">
        <v>30</v>
      </c>
      <c r="G10" s="342">
        <f t="shared" si="0"/>
        <v>1.2733333333333334</v>
      </c>
    </row>
    <row r="11" spans="1:7" ht="35.25" customHeight="1">
      <c r="A11" s="340">
        <v>9</v>
      </c>
      <c r="B11" s="351" t="s">
        <v>378</v>
      </c>
      <c r="C11" s="339" t="s">
        <v>362</v>
      </c>
      <c r="D11" s="344">
        <v>2</v>
      </c>
      <c r="E11" s="474">
        <v>8.84</v>
      </c>
      <c r="F11" s="339">
        <v>30</v>
      </c>
      <c r="G11" s="342">
        <f t="shared" si="0"/>
        <v>0.58933333333333338</v>
      </c>
    </row>
    <row r="12" spans="1:7" ht="35.25" customHeight="1">
      <c r="A12" s="340">
        <v>10</v>
      </c>
      <c r="B12" s="351" t="s">
        <v>379</v>
      </c>
      <c r="C12" s="339" t="s">
        <v>362</v>
      </c>
      <c r="D12" s="344">
        <v>1</v>
      </c>
      <c r="E12" s="474">
        <v>74.59</v>
      </c>
      <c r="F12" s="339">
        <v>36</v>
      </c>
      <c r="G12" s="342">
        <f t="shared" si="0"/>
        <v>2.0719444444444446</v>
      </c>
    </row>
    <row r="13" spans="1:7" ht="35.25" customHeight="1">
      <c r="A13" s="340">
        <v>11</v>
      </c>
      <c r="B13" s="351" t="s">
        <v>380</v>
      </c>
      <c r="C13" s="339" t="s">
        <v>362</v>
      </c>
      <c r="D13" s="344">
        <v>1</v>
      </c>
      <c r="E13" s="474">
        <v>36.9</v>
      </c>
      <c r="F13" s="339">
        <v>20</v>
      </c>
      <c r="G13" s="342">
        <f t="shared" si="0"/>
        <v>1.845</v>
      </c>
    </row>
    <row r="14" spans="1:7" ht="40.5" customHeight="1">
      <c r="A14" s="340">
        <v>12</v>
      </c>
      <c r="B14" s="351" t="s">
        <v>381</v>
      </c>
      <c r="C14" s="339" t="s">
        <v>362</v>
      </c>
      <c r="D14" s="344">
        <v>1</v>
      </c>
      <c r="E14" s="474">
        <v>721.45</v>
      </c>
      <c r="F14" s="339">
        <v>60</v>
      </c>
      <c r="G14" s="342">
        <f t="shared" si="0"/>
        <v>12.024166666666668</v>
      </c>
    </row>
    <row r="15" spans="1:7" ht="35.25" customHeight="1">
      <c r="A15" s="763" t="s">
        <v>434</v>
      </c>
      <c r="B15" s="764"/>
      <c r="C15" s="764"/>
      <c r="D15" s="764"/>
      <c r="E15" s="764"/>
      <c r="F15" s="765"/>
      <c r="G15" s="352">
        <f>SUM(G3:G14)</f>
        <v>104.7609611111111</v>
      </c>
    </row>
    <row r="16" spans="1:7" ht="35.25" customHeight="1">
      <c r="A16" s="763" t="s">
        <v>435</v>
      </c>
      <c r="B16" s="764"/>
      <c r="C16" s="764"/>
      <c r="D16" s="764"/>
      <c r="E16" s="764"/>
      <c r="F16" s="765"/>
      <c r="G16" s="352">
        <f>G15/2</f>
        <v>52.38048055555555</v>
      </c>
    </row>
    <row r="17" spans="1:7">
      <c r="A17" s="349" t="s">
        <v>382</v>
      </c>
    </row>
    <row r="18" spans="1:7" ht="21.75" customHeight="1">
      <c r="A18" s="762" t="s">
        <v>460</v>
      </c>
      <c r="B18" s="762"/>
      <c r="C18" s="762"/>
      <c r="D18" s="762"/>
      <c r="E18" s="762"/>
      <c r="F18" s="762"/>
      <c r="G18" s="762"/>
    </row>
    <row r="19" spans="1:7" ht="18.75" customHeight="1">
      <c r="A19" s="766" t="s">
        <v>383</v>
      </c>
      <c r="B19" s="766"/>
      <c r="C19" s="766"/>
      <c r="D19" s="766"/>
      <c r="E19" s="766"/>
      <c r="F19" s="766"/>
      <c r="G19" s="766"/>
    </row>
    <row r="20" spans="1:7" ht="36" customHeight="1">
      <c r="A20" s="762" t="s">
        <v>416</v>
      </c>
      <c r="B20" s="762"/>
      <c r="C20" s="762"/>
      <c r="D20" s="762"/>
      <c r="E20" s="762"/>
      <c r="F20" s="762"/>
      <c r="G20" s="762"/>
    </row>
  </sheetData>
  <mergeCells count="6">
    <mergeCell ref="A20:G20"/>
    <mergeCell ref="A16:F16"/>
    <mergeCell ref="A1:G1"/>
    <mergeCell ref="A15:F15"/>
    <mergeCell ref="A18:G18"/>
    <mergeCell ref="A19:G19"/>
  </mergeCells>
  <pageMargins left="0.7" right="0.7" top="0.75" bottom="0.75" header="0.3" footer="0.3"/>
  <pageSetup paperSize="9" scale="76"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J67"/>
  <sheetViews>
    <sheetView workbookViewId="0"/>
  </sheetViews>
  <sheetFormatPr defaultRowHeight="15"/>
  <cols>
    <col min="1" max="1" width="8.140625" style="8" customWidth="1"/>
    <col min="2" max="2" width="58.42578125" style="137" customWidth="1"/>
    <col min="3" max="3" width="13.42578125" style="13" customWidth="1"/>
    <col min="4" max="8" width="12.140625" style="8" hidden="1" customWidth="1"/>
    <col min="9" max="9" width="4.7109375" style="8" hidden="1" customWidth="1"/>
    <col min="10" max="10" width="10.85546875" style="8" customWidth="1"/>
    <col min="11" max="11" width="26.28515625" style="13" hidden="1" customWidth="1"/>
    <col min="12" max="12" width="24" style="13" hidden="1" customWidth="1"/>
    <col min="13" max="13" width="23.85546875" style="13" hidden="1" customWidth="1"/>
    <col min="14" max="14" width="1.7109375" style="8" hidden="1" customWidth="1"/>
    <col min="15" max="15" width="15" style="13" hidden="1" customWidth="1"/>
    <col min="16" max="16" width="17.5703125" style="13" hidden="1" customWidth="1"/>
    <col min="17" max="17" width="15" style="13" hidden="1" customWidth="1"/>
    <col min="18" max="18" width="16" style="138" customWidth="1"/>
    <col min="19" max="19" width="14.5703125" style="139" customWidth="1"/>
    <col min="20" max="20" width="12.28515625" style="10" hidden="1" customWidth="1"/>
    <col min="21" max="21" width="12.140625" style="10" hidden="1" customWidth="1"/>
    <col min="22" max="22" width="11.42578125" customWidth="1"/>
    <col min="23" max="1024" width="11.42578125" style="8" customWidth="1"/>
    <col min="1025" max="1025" width="9.140625" customWidth="1"/>
  </cols>
  <sheetData>
    <row r="1" spans="1:22" ht="43.15" customHeight="1">
      <c r="A1" s="783" t="s">
        <v>240</v>
      </c>
      <c r="B1" s="783"/>
      <c r="C1" s="783"/>
      <c r="D1" s="783"/>
      <c r="E1" s="783"/>
      <c r="F1" s="783"/>
      <c r="G1" s="783"/>
      <c r="H1" s="783"/>
      <c r="I1" s="783"/>
      <c r="J1" s="783"/>
      <c r="K1" s="784" t="s">
        <v>241</v>
      </c>
      <c r="L1" s="784"/>
      <c r="M1" s="784"/>
      <c r="N1" s="784"/>
      <c r="O1" s="784"/>
      <c r="P1" s="784"/>
      <c r="Q1" s="784"/>
      <c r="R1" s="785" t="s">
        <v>242</v>
      </c>
      <c r="S1" s="785"/>
      <c r="T1" s="786" t="s">
        <v>243</v>
      </c>
      <c r="U1" s="786"/>
    </row>
    <row r="2" spans="1:22" s="100" customFormat="1" ht="41.25" customHeight="1">
      <c r="A2" s="98" t="s">
        <v>39</v>
      </c>
      <c r="B2" s="98" t="s">
        <v>244</v>
      </c>
      <c r="C2" s="98" t="s">
        <v>164</v>
      </c>
      <c r="D2" s="98"/>
      <c r="E2" s="98"/>
      <c r="F2" s="98"/>
      <c r="G2" s="98"/>
      <c r="H2" s="98"/>
      <c r="I2" s="98"/>
      <c r="J2" s="99" t="s">
        <v>245</v>
      </c>
      <c r="K2" s="784"/>
      <c r="L2" s="784"/>
      <c r="M2" s="784"/>
      <c r="N2" s="784"/>
      <c r="O2" s="784"/>
      <c r="P2" s="784"/>
      <c r="Q2" s="784"/>
      <c r="R2" s="11" t="s">
        <v>246</v>
      </c>
      <c r="S2" s="11" t="s">
        <v>92</v>
      </c>
      <c r="T2" s="97" t="s">
        <v>246</v>
      </c>
      <c r="U2" s="97" t="s">
        <v>92</v>
      </c>
      <c r="V2"/>
    </row>
    <row r="3" spans="1:22" s="100" customFormat="1" ht="22.9" customHeight="1">
      <c r="A3" s="779">
        <v>1</v>
      </c>
      <c r="B3" s="780" t="s">
        <v>247</v>
      </c>
      <c r="C3" s="781" t="s">
        <v>248</v>
      </c>
      <c r="D3" s="102"/>
      <c r="E3" s="102"/>
      <c r="F3" s="102"/>
      <c r="G3" s="102"/>
      <c r="H3" s="102"/>
      <c r="I3" s="102"/>
      <c r="J3" s="779">
        <f>SUM(D4:I4)</f>
        <v>1</v>
      </c>
      <c r="K3" s="103" t="s">
        <v>249</v>
      </c>
      <c r="L3" s="103" t="s">
        <v>250</v>
      </c>
      <c r="M3" s="103" t="s">
        <v>251</v>
      </c>
      <c r="N3" s="104"/>
      <c r="O3" s="103" t="s">
        <v>252</v>
      </c>
      <c r="P3" s="103" t="s">
        <v>253</v>
      </c>
      <c r="Q3" s="103" t="s">
        <v>254</v>
      </c>
      <c r="R3" s="777"/>
      <c r="S3" s="778">
        <f>TRUNC(R3*J3,2)</f>
        <v>0</v>
      </c>
      <c r="T3" s="770">
        <v>569.29999999999995</v>
      </c>
      <c r="U3" s="770">
        <f>J3*T3</f>
        <v>569.29999999999995</v>
      </c>
      <c r="V3"/>
    </row>
    <row r="4" spans="1:22" ht="37.15" customHeight="1">
      <c r="A4" s="779"/>
      <c r="B4" s="780"/>
      <c r="C4" s="781"/>
      <c r="D4" s="101">
        <v>1</v>
      </c>
      <c r="E4" s="101">
        <v>0</v>
      </c>
      <c r="F4" s="101">
        <v>0</v>
      </c>
      <c r="G4" s="101">
        <v>0</v>
      </c>
      <c r="H4" s="101">
        <v>0</v>
      </c>
      <c r="I4" s="101">
        <v>0</v>
      </c>
      <c r="J4" s="779"/>
      <c r="K4" s="106">
        <v>539</v>
      </c>
      <c r="L4" s="106">
        <v>589</v>
      </c>
      <c r="M4" s="106">
        <v>579.9</v>
      </c>
      <c r="N4" s="107">
        <f>J3*M4</f>
        <v>579.9</v>
      </c>
      <c r="O4" s="106">
        <v>400</v>
      </c>
      <c r="P4" s="108">
        <v>1650</v>
      </c>
      <c r="Q4" s="106">
        <v>620</v>
      </c>
      <c r="R4" s="777"/>
      <c r="S4" s="778"/>
      <c r="T4" s="770"/>
      <c r="U4" s="770"/>
    </row>
    <row r="5" spans="1:22" ht="19.899999999999999" customHeight="1">
      <c r="A5" s="774">
        <v>2</v>
      </c>
      <c r="B5" s="775" t="s">
        <v>255</v>
      </c>
      <c r="C5" s="776" t="s">
        <v>248</v>
      </c>
      <c r="D5" s="109"/>
      <c r="E5" s="109"/>
      <c r="F5" s="109"/>
      <c r="G5" s="109"/>
      <c r="H5" s="109"/>
      <c r="I5" s="109"/>
      <c r="J5" s="774">
        <f>SUM(D6:I6)</f>
        <v>5</v>
      </c>
      <c r="K5" s="111" t="s">
        <v>256</v>
      </c>
      <c r="L5" s="111" t="s">
        <v>257</v>
      </c>
      <c r="M5" s="111" t="s">
        <v>250</v>
      </c>
      <c r="N5" s="112"/>
      <c r="O5" s="111" t="s">
        <v>252</v>
      </c>
      <c r="P5" s="111" t="s">
        <v>253</v>
      </c>
      <c r="Q5" s="111" t="s">
        <v>254</v>
      </c>
      <c r="R5" s="777"/>
      <c r="S5" s="778">
        <f>TRUNC(R5*J5,2)</f>
        <v>0</v>
      </c>
      <c r="T5" s="770">
        <v>109.23</v>
      </c>
      <c r="U5" s="770">
        <f>J5*T5</f>
        <v>546.15</v>
      </c>
    </row>
    <row r="6" spans="1:22" ht="17.45" customHeight="1">
      <c r="A6" s="774"/>
      <c r="B6" s="775"/>
      <c r="C6" s="776"/>
      <c r="D6" s="109">
        <v>1</v>
      </c>
      <c r="E6" s="109">
        <v>1</v>
      </c>
      <c r="F6" s="109">
        <v>1</v>
      </c>
      <c r="G6" s="109">
        <v>1</v>
      </c>
      <c r="H6" s="109">
        <v>0</v>
      </c>
      <c r="I6" s="109">
        <v>1</v>
      </c>
      <c r="J6" s="774"/>
      <c r="K6" s="113">
        <v>89.9</v>
      </c>
      <c r="L6" s="113">
        <v>118.8</v>
      </c>
      <c r="M6" s="113">
        <v>119</v>
      </c>
      <c r="N6" s="114"/>
      <c r="O6" s="113">
        <v>120</v>
      </c>
      <c r="P6" s="113">
        <v>220</v>
      </c>
      <c r="Q6" s="113">
        <v>89</v>
      </c>
      <c r="R6" s="777"/>
      <c r="S6" s="778"/>
      <c r="T6" s="770"/>
      <c r="U6" s="770"/>
    </row>
    <row r="7" spans="1:22" ht="28.15" customHeight="1">
      <c r="A7" s="774">
        <v>4</v>
      </c>
      <c r="B7" s="782" t="s">
        <v>258</v>
      </c>
      <c r="C7" s="776" t="s">
        <v>248</v>
      </c>
      <c r="D7" s="109"/>
      <c r="E7" s="109"/>
      <c r="F7" s="109"/>
      <c r="G7" s="109"/>
      <c r="H7" s="109"/>
      <c r="I7" s="109"/>
      <c r="J7" s="774">
        <v>2</v>
      </c>
      <c r="K7" s="111" t="s">
        <v>259</v>
      </c>
      <c r="L7" s="111" t="s">
        <v>260</v>
      </c>
      <c r="M7" s="111" t="s">
        <v>261</v>
      </c>
      <c r="N7" s="112"/>
      <c r="O7" s="111" t="s">
        <v>252</v>
      </c>
      <c r="P7" s="111" t="s">
        <v>253</v>
      </c>
      <c r="Q7" s="111" t="s">
        <v>254</v>
      </c>
      <c r="R7" s="777"/>
      <c r="S7" s="778">
        <f>TRUNC(R7*J7,2)</f>
        <v>0</v>
      </c>
      <c r="T7" s="770">
        <v>1006.32</v>
      </c>
      <c r="U7" s="770">
        <f>J7*T7</f>
        <v>2012.64</v>
      </c>
    </row>
    <row r="8" spans="1:22" ht="158.44999999999999" customHeight="1">
      <c r="A8" s="774"/>
      <c r="B8" s="782"/>
      <c r="C8" s="776"/>
      <c r="D8" s="109">
        <v>3</v>
      </c>
      <c r="E8" s="109">
        <v>0</v>
      </c>
      <c r="F8" s="109">
        <v>1</v>
      </c>
      <c r="G8" s="109">
        <v>1</v>
      </c>
      <c r="H8" s="109">
        <v>0</v>
      </c>
      <c r="I8" s="109">
        <v>0</v>
      </c>
      <c r="J8" s="774"/>
      <c r="K8" s="113">
        <v>1215.9000000000001</v>
      </c>
      <c r="L8" s="113">
        <v>854.05</v>
      </c>
      <c r="M8" s="113">
        <v>949</v>
      </c>
      <c r="N8" s="114"/>
      <c r="O8" s="113">
        <v>1100</v>
      </c>
      <c r="P8" s="113">
        <v>1050</v>
      </c>
      <c r="Q8" s="113">
        <v>999</v>
      </c>
      <c r="R8" s="777"/>
      <c r="S8" s="778"/>
      <c r="T8" s="770"/>
      <c r="U8" s="770"/>
    </row>
    <row r="9" spans="1:22" ht="24.6" customHeight="1">
      <c r="A9" s="779">
        <v>5</v>
      </c>
      <c r="B9" s="780" t="s">
        <v>262</v>
      </c>
      <c r="C9" s="781" t="s">
        <v>248</v>
      </c>
      <c r="D9" s="101"/>
      <c r="E9" s="101"/>
      <c r="F9" s="101"/>
      <c r="G9" s="101"/>
      <c r="H9" s="101"/>
      <c r="I9" s="101"/>
      <c r="J9" s="779">
        <f>SUM(D10:I10)</f>
        <v>6</v>
      </c>
      <c r="K9" s="115" t="s">
        <v>263</v>
      </c>
      <c r="L9" s="115" t="s">
        <v>264</v>
      </c>
      <c r="M9" s="115" t="s">
        <v>256</v>
      </c>
      <c r="N9" s="112"/>
      <c r="O9" s="115" t="s">
        <v>252</v>
      </c>
      <c r="P9" s="115" t="s">
        <v>253</v>
      </c>
      <c r="Q9" s="115" t="s">
        <v>254</v>
      </c>
      <c r="R9" s="777"/>
      <c r="S9" s="778">
        <f>TRUNC(R9*J9,2)</f>
        <v>0</v>
      </c>
      <c r="T9" s="770">
        <v>121.96</v>
      </c>
      <c r="U9" s="770">
        <f>J9*T9</f>
        <v>731.76</v>
      </c>
    </row>
    <row r="10" spans="1:22" ht="30" customHeight="1">
      <c r="A10" s="779"/>
      <c r="B10" s="780"/>
      <c r="C10" s="781"/>
      <c r="D10" s="101">
        <v>1</v>
      </c>
      <c r="E10" s="101">
        <v>1</v>
      </c>
      <c r="F10" s="101">
        <v>1</v>
      </c>
      <c r="G10" s="101">
        <v>1</v>
      </c>
      <c r="H10" s="101">
        <v>1</v>
      </c>
      <c r="I10" s="101">
        <v>1</v>
      </c>
      <c r="J10" s="779"/>
      <c r="K10" s="106">
        <v>96.97</v>
      </c>
      <c r="L10" s="106">
        <v>99.9</v>
      </c>
      <c r="M10" s="106">
        <v>169</v>
      </c>
      <c r="N10" s="107"/>
      <c r="O10" s="106">
        <v>200</v>
      </c>
      <c r="P10" s="106">
        <v>96</v>
      </c>
      <c r="Q10" s="106">
        <v>127.8</v>
      </c>
      <c r="R10" s="777"/>
      <c r="S10" s="778"/>
      <c r="T10" s="770"/>
      <c r="U10" s="770"/>
    </row>
    <row r="11" spans="1:22" ht="28.9" customHeight="1">
      <c r="A11" s="774">
        <v>6</v>
      </c>
      <c r="B11" s="775" t="s">
        <v>265</v>
      </c>
      <c r="C11" s="776" t="s">
        <v>248</v>
      </c>
      <c r="D11" s="109"/>
      <c r="E11" s="109"/>
      <c r="F11" s="109"/>
      <c r="G11" s="109"/>
      <c r="H11" s="109"/>
      <c r="I11" s="109"/>
      <c r="J11" s="774">
        <f>SUM(D12:I12)</f>
        <v>4</v>
      </c>
      <c r="K11" s="111" t="s">
        <v>259</v>
      </c>
      <c r="L11" s="111" t="s">
        <v>266</v>
      </c>
      <c r="M11" s="111" t="s">
        <v>267</v>
      </c>
      <c r="N11" s="112"/>
      <c r="O11" s="111" t="s">
        <v>252</v>
      </c>
      <c r="P11" s="111" t="s">
        <v>253</v>
      </c>
      <c r="Q11" s="111" t="s">
        <v>254</v>
      </c>
      <c r="R11" s="777"/>
      <c r="S11" s="778">
        <f>TRUNC(R11*J11,2)</f>
        <v>0</v>
      </c>
      <c r="T11" s="770">
        <v>250.33</v>
      </c>
      <c r="U11" s="770">
        <f>J11*T11</f>
        <v>1001.32</v>
      </c>
    </row>
    <row r="12" spans="1:22" ht="18" customHeight="1">
      <c r="A12" s="774"/>
      <c r="B12" s="775"/>
      <c r="C12" s="776"/>
      <c r="D12" s="109">
        <v>1</v>
      </c>
      <c r="E12" s="109">
        <v>1</v>
      </c>
      <c r="F12" s="109">
        <v>1</v>
      </c>
      <c r="G12" s="109">
        <v>1</v>
      </c>
      <c r="H12" s="109">
        <v>0</v>
      </c>
      <c r="I12" s="109">
        <v>0</v>
      </c>
      <c r="J12" s="774"/>
      <c r="K12" s="113">
        <v>280.89999999999998</v>
      </c>
      <c r="L12" s="113">
        <v>246</v>
      </c>
      <c r="M12" s="113">
        <v>224</v>
      </c>
      <c r="N12" s="114"/>
      <c r="O12" s="113">
        <v>200</v>
      </c>
      <c r="P12" s="113">
        <v>220</v>
      </c>
      <c r="Q12" s="113">
        <v>246</v>
      </c>
      <c r="R12" s="777"/>
      <c r="S12" s="778"/>
      <c r="T12" s="770"/>
      <c r="U12" s="770"/>
    </row>
    <row r="13" spans="1:22" ht="27.6" customHeight="1">
      <c r="A13" s="779">
        <v>7</v>
      </c>
      <c r="B13" s="780" t="s">
        <v>268</v>
      </c>
      <c r="C13" s="781" t="s">
        <v>248</v>
      </c>
      <c r="D13" s="101"/>
      <c r="E13" s="101"/>
      <c r="F13" s="101"/>
      <c r="G13" s="101"/>
      <c r="H13" s="101"/>
      <c r="I13" s="101"/>
      <c r="J13" s="779">
        <f>SUM(D14:I14)</f>
        <v>76</v>
      </c>
      <c r="K13" s="115" t="s">
        <v>264</v>
      </c>
      <c r="L13" s="115" t="s">
        <v>269</v>
      </c>
      <c r="M13" s="115" t="s">
        <v>270</v>
      </c>
      <c r="N13" s="112"/>
      <c r="O13" s="115" t="s">
        <v>252</v>
      </c>
      <c r="P13" s="115" t="s">
        <v>253</v>
      </c>
      <c r="Q13" s="115" t="s">
        <v>254</v>
      </c>
      <c r="R13" s="777"/>
      <c r="S13" s="778">
        <f>TRUNC(R13*J13,2)</f>
        <v>0</v>
      </c>
      <c r="T13" s="770">
        <v>24.92</v>
      </c>
      <c r="U13" s="770">
        <f>J13*T13</f>
        <v>1893.92</v>
      </c>
    </row>
    <row r="14" spans="1:22" ht="19.5" customHeight="1">
      <c r="A14" s="779"/>
      <c r="B14" s="780"/>
      <c r="C14" s="781"/>
      <c r="D14" s="101">
        <v>30</v>
      </c>
      <c r="E14" s="95">
        <v>10</v>
      </c>
      <c r="F14" s="101">
        <v>20</v>
      </c>
      <c r="G14" s="101">
        <v>12</v>
      </c>
      <c r="H14" s="101">
        <v>2</v>
      </c>
      <c r="I14" s="101">
        <v>2</v>
      </c>
      <c r="J14" s="779"/>
      <c r="K14" s="106">
        <v>21.97</v>
      </c>
      <c r="L14" s="106">
        <v>27.9</v>
      </c>
      <c r="M14" s="106">
        <v>24.9</v>
      </c>
      <c r="N14" s="107"/>
      <c r="O14" s="106">
        <v>70</v>
      </c>
      <c r="P14" s="106">
        <v>22</v>
      </c>
      <c r="Q14" s="106">
        <v>16.899999999999999</v>
      </c>
      <c r="R14" s="777"/>
      <c r="S14" s="778"/>
      <c r="T14" s="770"/>
      <c r="U14" s="770"/>
    </row>
    <row r="15" spans="1:22" ht="19.5" customHeight="1">
      <c r="A15" s="774">
        <v>8</v>
      </c>
      <c r="B15" s="775" t="s">
        <v>271</v>
      </c>
      <c r="C15" s="776" t="s">
        <v>248</v>
      </c>
      <c r="D15" s="109"/>
      <c r="E15" s="116"/>
      <c r="F15" s="109"/>
      <c r="G15" s="109"/>
      <c r="H15" s="109"/>
      <c r="I15" s="109"/>
      <c r="J15" s="774">
        <f>SUM(D16:I16)</f>
        <v>9</v>
      </c>
      <c r="K15" s="117" t="s">
        <v>272</v>
      </c>
      <c r="L15" s="117" t="s">
        <v>273</v>
      </c>
      <c r="M15" s="117" t="s">
        <v>274</v>
      </c>
      <c r="N15" s="107"/>
      <c r="O15" s="117" t="s">
        <v>252</v>
      </c>
      <c r="P15" s="117" t="s">
        <v>253</v>
      </c>
      <c r="Q15" s="117" t="s">
        <v>254</v>
      </c>
      <c r="R15" s="777"/>
      <c r="S15" s="778">
        <f>TRUNC(R15*J15,2)</f>
        <v>0</v>
      </c>
      <c r="T15" s="770">
        <v>265.35000000000002</v>
      </c>
      <c r="U15" s="770">
        <f>J15*T15</f>
        <v>2388.15</v>
      </c>
    </row>
    <row r="16" spans="1:22" ht="21" customHeight="1">
      <c r="A16" s="774"/>
      <c r="B16" s="775"/>
      <c r="C16" s="776"/>
      <c r="D16" s="109">
        <v>4</v>
      </c>
      <c r="E16" s="109">
        <v>1</v>
      </c>
      <c r="F16" s="109">
        <v>1</v>
      </c>
      <c r="G16" s="109">
        <v>1</v>
      </c>
      <c r="H16" s="109">
        <v>1</v>
      </c>
      <c r="I16" s="109">
        <v>1</v>
      </c>
      <c r="J16" s="774"/>
      <c r="K16" s="113">
        <v>235.36</v>
      </c>
      <c r="L16" s="113">
        <v>350.94</v>
      </c>
      <c r="M16" s="113">
        <v>209.76</v>
      </c>
      <c r="N16" s="114"/>
      <c r="O16" s="113">
        <v>300</v>
      </c>
      <c r="P16" s="113">
        <v>240</v>
      </c>
      <c r="Q16" s="113">
        <v>319.44</v>
      </c>
      <c r="R16" s="777"/>
      <c r="S16" s="778"/>
      <c r="T16" s="770"/>
      <c r="U16" s="770"/>
    </row>
    <row r="17" spans="1:21" ht="21.6" customHeight="1">
      <c r="A17" s="779">
        <v>9</v>
      </c>
      <c r="B17" s="780" t="s">
        <v>275</v>
      </c>
      <c r="C17" s="781" t="s">
        <v>248</v>
      </c>
      <c r="D17" s="101"/>
      <c r="E17" s="101"/>
      <c r="F17" s="101"/>
      <c r="G17" s="101"/>
      <c r="H17" s="101"/>
      <c r="I17" s="101"/>
      <c r="J17" s="779">
        <f>SUM(D18:I18)</f>
        <v>10</v>
      </c>
      <c r="K17" s="115" t="s">
        <v>256</v>
      </c>
      <c r="L17" s="115" t="s">
        <v>272</v>
      </c>
      <c r="M17" s="115" t="s">
        <v>276</v>
      </c>
      <c r="N17" s="112"/>
      <c r="O17" s="115" t="s">
        <v>252</v>
      </c>
      <c r="P17" s="115" t="s">
        <v>253</v>
      </c>
      <c r="Q17" s="115" t="s">
        <v>254</v>
      </c>
      <c r="R17" s="777"/>
      <c r="S17" s="778">
        <f>TRUNC(R17*J17,2)</f>
        <v>0</v>
      </c>
      <c r="T17" s="770">
        <v>17.36</v>
      </c>
      <c r="U17" s="770">
        <f>J17*T17</f>
        <v>173.6</v>
      </c>
    </row>
    <row r="18" spans="1:21" ht="15.75" customHeight="1">
      <c r="A18" s="779"/>
      <c r="B18" s="780"/>
      <c r="C18" s="781"/>
      <c r="D18" s="101">
        <v>4</v>
      </c>
      <c r="E18" s="101">
        <v>1</v>
      </c>
      <c r="F18" s="101">
        <v>1</v>
      </c>
      <c r="G18" s="101">
        <v>1</v>
      </c>
      <c r="H18" s="101">
        <v>1</v>
      </c>
      <c r="I18" s="101">
        <v>2</v>
      </c>
      <c r="J18" s="779"/>
      <c r="K18" s="106">
        <v>18.5</v>
      </c>
      <c r="L18" s="106">
        <v>16</v>
      </c>
      <c r="M18" s="106">
        <v>17.579999999999998</v>
      </c>
      <c r="N18" s="107"/>
      <c r="O18" s="106">
        <v>50</v>
      </c>
      <c r="P18" s="106">
        <v>25</v>
      </c>
      <c r="Q18" s="106">
        <v>21.9</v>
      </c>
      <c r="R18" s="777"/>
      <c r="S18" s="778"/>
      <c r="T18" s="770"/>
      <c r="U18" s="770"/>
    </row>
    <row r="19" spans="1:21" ht="15.75" customHeight="1">
      <c r="A19" s="774">
        <v>10</v>
      </c>
      <c r="B19" s="775" t="s">
        <v>277</v>
      </c>
      <c r="C19" s="776" t="s">
        <v>248</v>
      </c>
      <c r="D19" s="109"/>
      <c r="E19" s="109"/>
      <c r="F19" s="109"/>
      <c r="G19" s="109"/>
      <c r="H19" s="109"/>
      <c r="I19" s="109"/>
      <c r="J19" s="774">
        <f>SUM(D20:I20)</f>
        <v>27</v>
      </c>
      <c r="K19" s="117" t="s">
        <v>249</v>
      </c>
      <c r="L19" s="117" t="s">
        <v>256</v>
      </c>
      <c r="M19" s="117" t="s">
        <v>278</v>
      </c>
      <c r="N19" s="107"/>
      <c r="O19" s="117" t="s">
        <v>252</v>
      </c>
      <c r="P19" s="117" t="s">
        <v>253</v>
      </c>
      <c r="Q19" s="117" t="s">
        <v>254</v>
      </c>
      <c r="R19" s="777"/>
      <c r="S19" s="778">
        <f>TRUNC(R19*J19,2)</f>
        <v>0</v>
      </c>
      <c r="T19" s="770">
        <v>22.11</v>
      </c>
      <c r="U19" s="770">
        <f>J19*T19</f>
        <v>596.97</v>
      </c>
    </row>
    <row r="20" spans="1:21" ht="20.25" customHeight="1">
      <c r="A20" s="774"/>
      <c r="B20" s="775"/>
      <c r="C20" s="776"/>
      <c r="D20" s="109">
        <v>15</v>
      </c>
      <c r="E20" s="109">
        <v>3</v>
      </c>
      <c r="F20" s="109">
        <v>3</v>
      </c>
      <c r="G20" s="109">
        <v>4</v>
      </c>
      <c r="H20" s="109">
        <v>1</v>
      </c>
      <c r="I20" s="109">
        <v>1</v>
      </c>
      <c r="J20" s="774"/>
      <c r="K20" s="113">
        <v>25.43</v>
      </c>
      <c r="L20" s="113">
        <v>14.9</v>
      </c>
      <c r="M20" s="113">
        <v>25.99</v>
      </c>
      <c r="N20" s="114"/>
      <c r="O20" s="113">
        <v>50</v>
      </c>
      <c r="P20" s="113">
        <v>23</v>
      </c>
      <c r="Q20" s="118">
        <v>0</v>
      </c>
      <c r="R20" s="777"/>
      <c r="S20" s="778"/>
      <c r="T20" s="770"/>
      <c r="U20" s="770"/>
    </row>
    <row r="21" spans="1:21" ht="20.25" customHeight="1">
      <c r="A21" s="779">
        <v>11</v>
      </c>
      <c r="B21" s="780" t="s">
        <v>279</v>
      </c>
      <c r="C21" s="781" t="s">
        <v>248</v>
      </c>
      <c r="D21" s="101"/>
      <c r="E21" s="101"/>
      <c r="F21" s="101"/>
      <c r="G21" s="101"/>
      <c r="H21" s="101"/>
      <c r="I21" s="101"/>
      <c r="J21" s="779">
        <f>SUM(D22:I22)</f>
        <v>17</v>
      </c>
      <c r="K21" s="106" t="s">
        <v>249</v>
      </c>
      <c r="L21" s="106" t="s">
        <v>256</v>
      </c>
      <c r="M21" s="106" t="s">
        <v>272</v>
      </c>
      <c r="N21" s="107"/>
      <c r="O21" s="106" t="s">
        <v>252</v>
      </c>
      <c r="P21" s="106" t="s">
        <v>253</v>
      </c>
      <c r="Q21" s="106" t="s">
        <v>254</v>
      </c>
      <c r="R21" s="777"/>
      <c r="S21" s="778">
        <f>TRUNC(R21*J21,2)</f>
        <v>0</v>
      </c>
      <c r="T21" s="770">
        <v>33.67</v>
      </c>
      <c r="U21" s="770">
        <f>J21*T21</f>
        <v>572.39</v>
      </c>
    </row>
    <row r="22" spans="1:21" ht="21" customHeight="1">
      <c r="A22" s="779"/>
      <c r="B22" s="780"/>
      <c r="C22" s="781"/>
      <c r="D22" s="101">
        <v>6</v>
      </c>
      <c r="E22" s="101">
        <v>2</v>
      </c>
      <c r="F22" s="101">
        <v>2</v>
      </c>
      <c r="G22" s="101">
        <v>3</v>
      </c>
      <c r="H22" s="101">
        <v>1</v>
      </c>
      <c r="I22" s="101">
        <v>3</v>
      </c>
      <c r="J22" s="779"/>
      <c r="K22" s="106">
        <v>29</v>
      </c>
      <c r="L22" s="106">
        <v>34</v>
      </c>
      <c r="M22" s="106">
        <v>38</v>
      </c>
      <c r="N22" s="107"/>
      <c r="O22" s="106">
        <v>30</v>
      </c>
      <c r="P22" s="106">
        <v>26</v>
      </c>
      <c r="Q22" s="106">
        <v>29.9</v>
      </c>
      <c r="R22" s="777"/>
      <c r="S22" s="778"/>
      <c r="T22" s="770"/>
      <c r="U22" s="770"/>
    </row>
    <row r="23" spans="1:21" ht="21" customHeight="1">
      <c r="A23" s="774">
        <v>12</v>
      </c>
      <c r="B23" s="775" t="s">
        <v>280</v>
      </c>
      <c r="C23" s="776" t="s">
        <v>248</v>
      </c>
      <c r="D23" s="109"/>
      <c r="E23" s="109"/>
      <c r="F23" s="109"/>
      <c r="G23" s="109"/>
      <c r="H23" s="109"/>
      <c r="I23" s="109"/>
      <c r="J23" s="774">
        <f>SUM(D24:I24)</f>
        <v>33</v>
      </c>
      <c r="K23" s="111" t="s">
        <v>249</v>
      </c>
      <c r="L23" s="111" t="s">
        <v>250</v>
      </c>
      <c r="M23" s="111" t="s">
        <v>256</v>
      </c>
      <c r="N23" s="112"/>
      <c r="O23" s="111" t="s">
        <v>252</v>
      </c>
      <c r="P23" s="111" t="s">
        <v>253</v>
      </c>
      <c r="Q23" s="111" t="s">
        <v>254</v>
      </c>
      <c r="R23" s="777"/>
      <c r="S23" s="778">
        <f>TRUNC(R23*J23,2)</f>
        <v>0</v>
      </c>
      <c r="T23" s="770">
        <v>32.630000000000003</v>
      </c>
      <c r="U23" s="770">
        <f>J23*T23</f>
        <v>1076.7900000000002</v>
      </c>
    </row>
    <row r="24" spans="1:21" ht="21.6" customHeight="1">
      <c r="A24" s="774"/>
      <c r="B24" s="775"/>
      <c r="C24" s="776"/>
      <c r="D24" s="109">
        <v>11</v>
      </c>
      <c r="E24" s="109">
        <v>2</v>
      </c>
      <c r="F24" s="109">
        <v>12</v>
      </c>
      <c r="G24" s="109">
        <v>4</v>
      </c>
      <c r="H24" s="109">
        <v>2</v>
      </c>
      <c r="I24" s="109">
        <v>2</v>
      </c>
      <c r="J24" s="774"/>
      <c r="K24" s="113">
        <v>34</v>
      </c>
      <c r="L24" s="113">
        <v>38</v>
      </c>
      <c r="M24" s="113">
        <v>25.9</v>
      </c>
      <c r="N24" s="114"/>
      <c r="O24" s="113">
        <v>50</v>
      </c>
      <c r="P24" s="113">
        <v>39</v>
      </c>
      <c r="Q24" s="113">
        <v>35.9</v>
      </c>
      <c r="R24" s="777"/>
      <c r="S24" s="778"/>
      <c r="T24" s="770"/>
      <c r="U24" s="770"/>
    </row>
    <row r="25" spans="1:21" ht="21.6" customHeight="1">
      <c r="A25" s="779">
        <v>13</v>
      </c>
      <c r="B25" s="780" t="s">
        <v>281</v>
      </c>
      <c r="C25" s="781" t="s">
        <v>248</v>
      </c>
      <c r="D25" s="101"/>
      <c r="E25" s="101"/>
      <c r="F25" s="101"/>
      <c r="G25" s="101"/>
      <c r="H25" s="101"/>
      <c r="I25" s="101"/>
      <c r="J25" s="779">
        <f>SUM(D26:I26)</f>
        <v>35</v>
      </c>
      <c r="K25" s="106" t="s">
        <v>249</v>
      </c>
      <c r="L25" s="106" t="s">
        <v>256</v>
      </c>
      <c r="M25" s="106" t="s">
        <v>272</v>
      </c>
      <c r="N25" s="107"/>
      <c r="O25" s="106" t="s">
        <v>252</v>
      </c>
      <c r="P25" s="106" t="s">
        <v>253</v>
      </c>
      <c r="Q25" s="106" t="s">
        <v>254</v>
      </c>
      <c r="R25" s="777"/>
      <c r="S25" s="778">
        <f>TRUNC(R25*J25,2)</f>
        <v>0</v>
      </c>
      <c r="T25" s="770">
        <v>33.67</v>
      </c>
      <c r="U25" s="770">
        <f>J25*T25</f>
        <v>1178.45</v>
      </c>
    </row>
    <row r="26" spans="1:21" ht="77.45" customHeight="1">
      <c r="A26" s="779"/>
      <c r="B26" s="780"/>
      <c r="C26" s="781"/>
      <c r="D26" s="101">
        <v>11</v>
      </c>
      <c r="E26" s="101">
        <v>4</v>
      </c>
      <c r="F26" s="101">
        <v>7</v>
      </c>
      <c r="G26" s="101">
        <v>7</v>
      </c>
      <c r="H26" s="101">
        <v>2</v>
      </c>
      <c r="I26" s="101">
        <v>4</v>
      </c>
      <c r="J26" s="779"/>
      <c r="K26" s="106">
        <v>29</v>
      </c>
      <c r="L26" s="106">
        <v>34</v>
      </c>
      <c r="M26" s="106">
        <v>38</v>
      </c>
      <c r="N26" s="107"/>
      <c r="O26" s="106">
        <v>50</v>
      </c>
      <c r="P26" s="106">
        <v>28</v>
      </c>
      <c r="Q26" s="106">
        <v>59.3</v>
      </c>
      <c r="R26" s="777"/>
      <c r="S26" s="778"/>
      <c r="T26" s="770"/>
      <c r="U26" s="770"/>
    </row>
    <row r="27" spans="1:21" ht="22.15" customHeight="1">
      <c r="A27" s="774">
        <v>14</v>
      </c>
      <c r="B27" s="775" t="s">
        <v>282</v>
      </c>
      <c r="C27" s="776" t="s">
        <v>248</v>
      </c>
      <c r="D27" s="109"/>
      <c r="E27" s="109"/>
      <c r="F27" s="109"/>
      <c r="G27" s="109"/>
      <c r="H27" s="109"/>
      <c r="I27" s="109"/>
      <c r="J27" s="774">
        <f>SUM(D28:I28)</f>
        <v>61</v>
      </c>
      <c r="K27" s="117" t="s">
        <v>272</v>
      </c>
      <c r="L27" s="117" t="s">
        <v>249</v>
      </c>
      <c r="M27" s="117" t="s">
        <v>283</v>
      </c>
      <c r="N27" s="107"/>
      <c r="O27" s="117" t="s">
        <v>252</v>
      </c>
      <c r="P27" s="117" t="s">
        <v>253</v>
      </c>
      <c r="Q27" s="117" t="s">
        <v>254</v>
      </c>
      <c r="R27" s="777"/>
      <c r="S27" s="778">
        <f>TRUNC(R27*J27,2)</f>
        <v>0</v>
      </c>
      <c r="T27" s="770">
        <v>37.270000000000003</v>
      </c>
      <c r="U27" s="770">
        <f>J27*T27</f>
        <v>2273.4700000000003</v>
      </c>
    </row>
    <row r="28" spans="1:21" ht="25.9" customHeight="1">
      <c r="A28" s="774"/>
      <c r="B28" s="775"/>
      <c r="C28" s="776"/>
      <c r="D28" s="109">
        <v>36</v>
      </c>
      <c r="E28" s="109">
        <v>5</v>
      </c>
      <c r="F28" s="109">
        <v>12</v>
      </c>
      <c r="G28" s="109">
        <v>3</v>
      </c>
      <c r="H28" s="109">
        <v>1</v>
      </c>
      <c r="I28" s="109">
        <v>4</v>
      </c>
      <c r="J28" s="774"/>
      <c r="K28" s="113">
        <v>40.32</v>
      </c>
      <c r="L28" s="113">
        <v>39</v>
      </c>
      <c r="M28" s="113">
        <v>32.49</v>
      </c>
      <c r="N28" s="114"/>
      <c r="O28" s="113">
        <v>50</v>
      </c>
      <c r="P28" s="113">
        <v>26</v>
      </c>
      <c r="Q28" s="113">
        <v>29.9</v>
      </c>
      <c r="R28" s="777"/>
      <c r="S28" s="778"/>
      <c r="T28" s="770"/>
      <c r="U28" s="770"/>
    </row>
    <row r="29" spans="1:21" ht="21.6" customHeight="1">
      <c r="A29" s="779">
        <v>15</v>
      </c>
      <c r="B29" s="780" t="s">
        <v>284</v>
      </c>
      <c r="C29" s="781" t="s">
        <v>248</v>
      </c>
      <c r="D29" s="101"/>
      <c r="E29" s="101"/>
      <c r="F29" s="101"/>
      <c r="G29" s="101"/>
      <c r="H29" s="101"/>
      <c r="I29" s="101"/>
      <c r="J29" s="779">
        <f>SUM(D30:I30)</f>
        <v>2</v>
      </c>
      <c r="K29" s="106" t="s">
        <v>263</v>
      </c>
      <c r="L29" s="106" t="s">
        <v>250</v>
      </c>
      <c r="M29" s="106" t="s">
        <v>285</v>
      </c>
      <c r="N29" s="107"/>
      <c r="O29" s="106" t="s">
        <v>252</v>
      </c>
      <c r="P29" s="106" t="s">
        <v>253</v>
      </c>
      <c r="Q29" s="106" t="s">
        <v>254</v>
      </c>
      <c r="R29" s="777"/>
      <c r="S29" s="778">
        <f>TRUNC(R29*J29,2)</f>
        <v>0</v>
      </c>
      <c r="T29" s="770">
        <v>1336.07</v>
      </c>
      <c r="U29" s="770">
        <f>J29*T29</f>
        <v>2672.14</v>
      </c>
    </row>
    <row r="30" spans="1:21" ht="18" customHeight="1">
      <c r="A30" s="779"/>
      <c r="B30" s="780"/>
      <c r="C30" s="781"/>
      <c r="D30" s="101">
        <v>1</v>
      </c>
      <c r="E30" s="101">
        <v>1</v>
      </c>
      <c r="F30" s="101">
        <v>0</v>
      </c>
      <c r="G30" s="101">
        <v>0</v>
      </c>
      <c r="H30" s="101">
        <v>0</v>
      </c>
      <c r="I30" s="101">
        <v>0</v>
      </c>
      <c r="J30" s="779"/>
      <c r="K30" s="106">
        <v>1510.2</v>
      </c>
      <c r="L30" s="106">
        <v>1199</v>
      </c>
      <c r="M30" s="106">
        <v>1299</v>
      </c>
      <c r="N30" s="107"/>
      <c r="O30" s="108">
        <v>2500</v>
      </c>
      <c r="P30" s="106">
        <v>1350</v>
      </c>
      <c r="Q30" s="106">
        <v>1530</v>
      </c>
      <c r="R30" s="777"/>
      <c r="S30" s="778"/>
      <c r="T30" s="770"/>
      <c r="U30" s="770"/>
    </row>
    <row r="31" spans="1:21" ht="19.899999999999999" customHeight="1">
      <c r="A31" s="774">
        <v>16</v>
      </c>
      <c r="B31" s="775" t="s">
        <v>286</v>
      </c>
      <c r="C31" s="776" t="s">
        <v>248</v>
      </c>
      <c r="D31" s="109"/>
      <c r="E31" s="109"/>
      <c r="F31" s="109"/>
      <c r="G31" s="109"/>
      <c r="H31" s="109"/>
      <c r="I31" s="109"/>
      <c r="J31" s="774">
        <f>SUM(D32:I32)</f>
        <v>7</v>
      </c>
      <c r="K31" s="117" t="s">
        <v>272</v>
      </c>
      <c r="L31" s="117" t="s">
        <v>250</v>
      </c>
      <c r="M31" s="117" t="s">
        <v>287</v>
      </c>
      <c r="N31" s="107"/>
      <c r="O31" s="117" t="s">
        <v>252</v>
      </c>
      <c r="P31" s="117" t="s">
        <v>253</v>
      </c>
      <c r="Q31" s="117" t="s">
        <v>254</v>
      </c>
      <c r="R31" s="777"/>
      <c r="S31" s="778">
        <f>TRUNC(R31*J31,2)</f>
        <v>0</v>
      </c>
      <c r="T31" s="770">
        <v>789.38</v>
      </c>
      <c r="U31" s="770">
        <f>J31*T31</f>
        <v>5525.66</v>
      </c>
    </row>
    <row r="32" spans="1:21" ht="18.600000000000001" customHeight="1">
      <c r="A32" s="774"/>
      <c r="B32" s="775"/>
      <c r="C32" s="776"/>
      <c r="D32" s="109">
        <v>1</v>
      </c>
      <c r="E32" s="109">
        <v>1</v>
      </c>
      <c r="F32" s="109">
        <v>1</v>
      </c>
      <c r="G32" s="109">
        <v>1</v>
      </c>
      <c r="H32" s="109">
        <v>1</v>
      </c>
      <c r="I32" s="109">
        <v>2</v>
      </c>
      <c r="J32" s="774"/>
      <c r="K32" s="113">
        <v>769.6</v>
      </c>
      <c r="L32" s="113">
        <v>697.3</v>
      </c>
      <c r="M32" s="113">
        <v>901.24</v>
      </c>
      <c r="N32" s="114"/>
      <c r="O32" s="113">
        <v>350</v>
      </c>
      <c r="P32" s="113">
        <v>250</v>
      </c>
      <c r="Q32" s="113">
        <v>289</v>
      </c>
      <c r="R32" s="777"/>
      <c r="S32" s="778"/>
      <c r="T32" s="770"/>
      <c r="U32" s="770"/>
    </row>
    <row r="33" spans="1:21" ht="19.899999999999999" customHeight="1">
      <c r="A33" s="779">
        <v>17</v>
      </c>
      <c r="B33" s="780" t="s">
        <v>288</v>
      </c>
      <c r="C33" s="781" t="s">
        <v>248</v>
      </c>
      <c r="D33" s="101"/>
      <c r="E33" s="101"/>
      <c r="F33" s="101"/>
      <c r="G33" s="101"/>
      <c r="H33" s="101"/>
      <c r="I33" s="101"/>
      <c r="J33" s="779">
        <f>SUM(D34:I34)</f>
        <v>5</v>
      </c>
      <c r="K33" s="106" t="s">
        <v>256</v>
      </c>
      <c r="L33" s="106" t="s">
        <v>250</v>
      </c>
      <c r="M33" s="106" t="s">
        <v>272</v>
      </c>
      <c r="N33" s="107"/>
      <c r="O33" s="106" t="s">
        <v>252</v>
      </c>
      <c r="P33" s="106" t="s">
        <v>253</v>
      </c>
      <c r="Q33" s="106" t="s">
        <v>254</v>
      </c>
      <c r="R33" s="777"/>
      <c r="S33" s="778">
        <f>TRUNC(R33*J33,2)</f>
        <v>0</v>
      </c>
      <c r="T33" s="770">
        <v>132.6</v>
      </c>
      <c r="U33" s="770">
        <f>J33*T33</f>
        <v>663</v>
      </c>
    </row>
    <row r="34" spans="1:21" ht="18" customHeight="1">
      <c r="A34" s="779"/>
      <c r="B34" s="780"/>
      <c r="C34" s="781"/>
      <c r="D34" s="101">
        <v>2</v>
      </c>
      <c r="E34" s="101">
        <v>0</v>
      </c>
      <c r="F34" s="101">
        <v>1</v>
      </c>
      <c r="G34" s="101">
        <v>1</v>
      </c>
      <c r="H34" s="101">
        <v>0</v>
      </c>
      <c r="I34" s="101">
        <v>1</v>
      </c>
      <c r="J34" s="779"/>
      <c r="K34" s="106">
        <v>135.9</v>
      </c>
      <c r="L34" s="106">
        <v>117.9</v>
      </c>
      <c r="M34" s="106">
        <v>149.99</v>
      </c>
      <c r="N34" s="107"/>
      <c r="O34" s="106">
        <v>190</v>
      </c>
      <c r="P34" s="106">
        <v>180</v>
      </c>
      <c r="Q34" s="106">
        <v>198</v>
      </c>
      <c r="R34" s="777"/>
      <c r="S34" s="778"/>
      <c r="T34" s="770"/>
      <c r="U34" s="770"/>
    </row>
    <row r="35" spans="1:21" ht="19.149999999999999" customHeight="1">
      <c r="A35" s="774">
        <v>18</v>
      </c>
      <c r="B35" s="775" t="s">
        <v>289</v>
      </c>
      <c r="C35" s="776" t="s">
        <v>248</v>
      </c>
      <c r="D35" s="109"/>
      <c r="E35" s="109"/>
      <c r="F35" s="109"/>
      <c r="G35" s="109"/>
      <c r="H35" s="109"/>
      <c r="I35" s="109"/>
      <c r="J35" s="774">
        <f>SUM(D36:I36)</f>
        <v>3</v>
      </c>
      <c r="K35" s="117" t="s">
        <v>256</v>
      </c>
      <c r="L35" s="117" t="s">
        <v>250</v>
      </c>
      <c r="M35" s="117" t="s">
        <v>290</v>
      </c>
      <c r="N35" s="107"/>
      <c r="O35" s="117" t="s">
        <v>252</v>
      </c>
      <c r="P35" s="117" t="s">
        <v>253</v>
      </c>
      <c r="Q35" s="117" t="s">
        <v>254</v>
      </c>
      <c r="R35" s="777"/>
      <c r="S35" s="778">
        <f>TRUNC(R35*J35,2)</f>
        <v>0</v>
      </c>
      <c r="T35" s="770">
        <v>104.63</v>
      </c>
      <c r="U35" s="770">
        <f>J35*T35</f>
        <v>313.89</v>
      </c>
    </row>
    <row r="36" spans="1:21" ht="22.15" customHeight="1">
      <c r="A36" s="774"/>
      <c r="B36" s="775"/>
      <c r="C36" s="776"/>
      <c r="D36" s="109">
        <v>2</v>
      </c>
      <c r="E36" s="109">
        <v>0</v>
      </c>
      <c r="F36" s="109">
        <v>0</v>
      </c>
      <c r="G36" s="109">
        <v>0</v>
      </c>
      <c r="H36" s="109">
        <v>0</v>
      </c>
      <c r="I36" s="109">
        <v>1</v>
      </c>
      <c r="J36" s="774"/>
      <c r="K36" s="113">
        <v>104.06</v>
      </c>
      <c r="L36" s="113">
        <v>109.94</v>
      </c>
      <c r="M36" s="113">
        <v>99.9</v>
      </c>
      <c r="N36" s="114"/>
      <c r="O36" s="113">
        <v>200</v>
      </c>
      <c r="P36" s="113">
        <v>120</v>
      </c>
      <c r="Q36" s="113">
        <v>190</v>
      </c>
      <c r="R36" s="777"/>
      <c r="S36" s="778"/>
      <c r="T36" s="770"/>
      <c r="U36" s="770"/>
    </row>
    <row r="37" spans="1:21" ht="17.45" customHeight="1">
      <c r="A37" s="779">
        <v>19</v>
      </c>
      <c r="B37" s="780" t="s">
        <v>291</v>
      </c>
      <c r="C37" s="781" t="s">
        <v>248</v>
      </c>
      <c r="D37" s="101"/>
      <c r="E37" s="101"/>
      <c r="F37" s="101"/>
      <c r="G37" s="101"/>
      <c r="H37" s="101"/>
      <c r="I37" s="101"/>
      <c r="J37" s="779">
        <f>SUM(D38:I38)</f>
        <v>7</v>
      </c>
      <c r="K37" s="119" t="s">
        <v>249</v>
      </c>
      <c r="L37" s="119" t="s">
        <v>292</v>
      </c>
      <c r="M37" s="119" t="s">
        <v>251</v>
      </c>
      <c r="N37" s="114"/>
      <c r="O37" s="119" t="s">
        <v>252</v>
      </c>
      <c r="P37" s="119" t="s">
        <v>253</v>
      </c>
      <c r="Q37" s="119" t="s">
        <v>254</v>
      </c>
      <c r="R37" s="777"/>
      <c r="S37" s="778">
        <f>TRUNC(R37*J37,2)</f>
        <v>0</v>
      </c>
      <c r="T37" s="770">
        <v>253.6</v>
      </c>
      <c r="U37" s="770">
        <f>J37*T37</f>
        <v>1775.2</v>
      </c>
    </row>
    <row r="38" spans="1:21" ht="17.45" customHeight="1">
      <c r="A38" s="779"/>
      <c r="B38" s="780"/>
      <c r="C38" s="781"/>
      <c r="D38" s="101">
        <v>2</v>
      </c>
      <c r="E38" s="101">
        <v>1</v>
      </c>
      <c r="F38" s="101">
        <v>1</v>
      </c>
      <c r="G38" s="101">
        <v>1</v>
      </c>
      <c r="H38" s="101">
        <v>1</v>
      </c>
      <c r="I38" s="101">
        <v>1</v>
      </c>
      <c r="J38" s="779"/>
      <c r="K38" s="119">
        <v>265</v>
      </c>
      <c r="L38" s="119">
        <v>234.9</v>
      </c>
      <c r="M38" s="119">
        <v>260.89999999999998</v>
      </c>
      <c r="N38" s="114"/>
      <c r="O38" s="119">
        <v>180</v>
      </c>
      <c r="P38" s="119">
        <v>200</v>
      </c>
      <c r="Q38" s="119">
        <v>185</v>
      </c>
      <c r="R38" s="777"/>
      <c r="S38" s="778"/>
      <c r="T38" s="770"/>
      <c r="U38" s="770"/>
    </row>
    <row r="39" spans="1:21" ht="18.600000000000001" customHeight="1">
      <c r="A39" s="774">
        <v>20</v>
      </c>
      <c r="B39" s="775" t="s">
        <v>293</v>
      </c>
      <c r="C39" s="776" t="s">
        <v>248</v>
      </c>
      <c r="D39" s="109"/>
      <c r="E39" s="109"/>
      <c r="F39" s="109"/>
      <c r="G39" s="109"/>
      <c r="H39" s="109"/>
      <c r="I39" s="109"/>
      <c r="J39" s="774">
        <f>SUM(D40:I40)</f>
        <v>6</v>
      </c>
      <c r="K39" s="117" t="s">
        <v>264</v>
      </c>
      <c r="L39" s="117" t="s">
        <v>250</v>
      </c>
      <c r="M39" s="117" t="s">
        <v>256</v>
      </c>
      <c r="N39" s="107"/>
      <c r="O39" s="117" t="s">
        <v>252</v>
      </c>
      <c r="P39" s="117" t="s">
        <v>253</v>
      </c>
      <c r="Q39" s="117" t="s">
        <v>254</v>
      </c>
      <c r="R39" s="777"/>
      <c r="S39" s="778">
        <f>TRUNC(R39*J39,2)</f>
        <v>0</v>
      </c>
      <c r="T39" s="770">
        <v>1078.93</v>
      </c>
      <c r="U39" s="770">
        <f>J39*T39</f>
        <v>6473.58</v>
      </c>
    </row>
    <row r="40" spans="1:21" ht="25.15" customHeight="1">
      <c r="A40" s="774"/>
      <c r="B40" s="775"/>
      <c r="C40" s="776"/>
      <c r="D40" s="109">
        <v>1</v>
      </c>
      <c r="E40" s="109">
        <v>1</v>
      </c>
      <c r="F40" s="109">
        <v>1</v>
      </c>
      <c r="G40" s="109">
        <v>1</v>
      </c>
      <c r="H40" s="109">
        <v>1</v>
      </c>
      <c r="I40" s="109">
        <v>1</v>
      </c>
      <c r="J40" s="774"/>
      <c r="K40" s="117">
        <v>919.99</v>
      </c>
      <c r="L40" s="117">
        <v>1199.9000000000001</v>
      </c>
      <c r="M40" s="117">
        <v>1116.9000000000001</v>
      </c>
      <c r="N40" s="107"/>
      <c r="O40" s="117">
        <v>1700</v>
      </c>
      <c r="P40" s="117">
        <v>520</v>
      </c>
      <c r="Q40" s="117">
        <v>1600</v>
      </c>
      <c r="R40" s="777"/>
      <c r="S40" s="778"/>
      <c r="T40" s="770"/>
      <c r="U40" s="770"/>
    </row>
    <row r="41" spans="1:21" ht="19.899999999999999" customHeight="1">
      <c r="A41" s="779">
        <v>21</v>
      </c>
      <c r="B41" s="780" t="s">
        <v>294</v>
      </c>
      <c r="C41" s="781" t="s">
        <v>248</v>
      </c>
      <c r="D41" s="101"/>
      <c r="E41" s="101"/>
      <c r="F41" s="101"/>
      <c r="G41" s="101"/>
      <c r="H41" s="101"/>
      <c r="I41" s="101"/>
      <c r="J41" s="779">
        <f>SUM(D42:I42)</f>
        <v>97</v>
      </c>
      <c r="K41" s="106" t="s">
        <v>273</v>
      </c>
      <c r="L41" s="106" t="s">
        <v>295</v>
      </c>
      <c r="M41" s="106" t="s">
        <v>274</v>
      </c>
      <c r="N41" s="107"/>
      <c r="O41" s="106" t="s">
        <v>252</v>
      </c>
      <c r="P41" s="106" t="s">
        <v>253</v>
      </c>
      <c r="Q41" s="106" t="s">
        <v>254</v>
      </c>
      <c r="R41" s="777"/>
      <c r="S41" s="778">
        <f>TRUNC(R41*J41,2)</f>
        <v>0</v>
      </c>
      <c r="T41" s="770">
        <v>29.87</v>
      </c>
      <c r="U41" s="770">
        <f>J41*T41</f>
        <v>2897.39</v>
      </c>
    </row>
    <row r="42" spans="1:21" ht="16.899999999999999" customHeight="1">
      <c r="A42" s="779"/>
      <c r="B42" s="780"/>
      <c r="C42" s="781"/>
      <c r="D42" s="101">
        <v>51</v>
      </c>
      <c r="E42" s="101">
        <v>10</v>
      </c>
      <c r="F42" s="101">
        <v>12</v>
      </c>
      <c r="G42" s="101">
        <v>12</v>
      </c>
      <c r="H42" s="101">
        <v>2</v>
      </c>
      <c r="I42" s="101">
        <v>10</v>
      </c>
      <c r="J42" s="779"/>
      <c r="K42" s="106">
        <v>25</v>
      </c>
      <c r="L42" s="106">
        <v>34.9</v>
      </c>
      <c r="M42" s="106">
        <v>28.8</v>
      </c>
      <c r="N42" s="107"/>
      <c r="O42" s="106">
        <v>30</v>
      </c>
      <c r="P42" s="106">
        <v>15</v>
      </c>
      <c r="Q42" s="106">
        <v>23.9</v>
      </c>
      <c r="R42" s="777"/>
      <c r="S42" s="778"/>
      <c r="T42" s="770"/>
      <c r="U42" s="770"/>
    </row>
    <row r="43" spans="1:21" ht="19.899999999999999" customHeight="1">
      <c r="A43" s="774">
        <v>22</v>
      </c>
      <c r="B43" s="775" t="s">
        <v>296</v>
      </c>
      <c r="C43" s="776" t="s">
        <v>248</v>
      </c>
      <c r="D43" s="109"/>
      <c r="E43" s="109"/>
      <c r="F43" s="109"/>
      <c r="G43" s="109"/>
      <c r="H43" s="109"/>
      <c r="I43" s="109"/>
      <c r="J43" s="774">
        <v>20</v>
      </c>
      <c r="K43" s="117" t="s">
        <v>249</v>
      </c>
      <c r="L43" s="117" t="s">
        <v>256</v>
      </c>
      <c r="M43" s="120" t="s">
        <v>272</v>
      </c>
      <c r="N43" s="107"/>
      <c r="O43" s="117" t="s">
        <v>252</v>
      </c>
      <c r="P43" s="117" t="s">
        <v>253</v>
      </c>
      <c r="Q43" s="117" t="s">
        <v>254</v>
      </c>
      <c r="R43" s="777"/>
      <c r="S43" s="778">
        <f>TRUNC(R43*J43,2)</f>
        <v>0</v>
      </c>
      <c r="T43" s="770">
        <v>56.25</v>
      </c>
      <c r="U43" s="770">
        <f>J43*T43</f>
        <v>1125</v>
      </c>
    </row>
    <row r="44" spans="1:21" ht="17.45" customHeight="1">
      <c r="A44" s="774"/>
      <c r="B44" s="775"/>
      <c r="C44" s="776"/>
      <c r="D44" s="109">
        <v>5</v>
      </c>
      <c r="E44" s="109">
        <v>1</v>
      </c>
      <c r="F44" s="109">
        <v>4</v>
      </c>
      <c r="G44" s="109">
        <v>1</v>
      </c>
      <c r="H44" s="109">
        <v>1</v>
      </c>
      <c r="I44" s="109">
        <v>3</v>
      </c>
      <c r="J44" s="774"/>
      <c r="K44" s="113">
        <v>57.59</v>
      </c>
      <c r="L44" s="113">
        <v>53.88</v>
      </c>
      <c r="M44" s="113">
        <v>57.28</v>
      </c>
      <c r="N44" s="114"/>
      <c r="O44" s="113">
        <v>180</v>
      </c>
      <c r="P44" s="113">
        <v>65</v>
      </c>
      <c r="Q44" s="113">
        <v>52.16</v>
      </c>
      <c r="R44" s="777"/>
      <c r="S44" s="778"/>
      <c r="T44" s="770"/>
      <c r="U44" s="770"/>
    </row>
    <row r="45" spans="1:21" ht="16.899999999999999" customHeight="1">
      <c r="A45" s="779">
        <v>23</v>
      </c>
      <c r="B45" s="780" t="s">
        <v>297</v>
      </c>
      <c r="C45" s="781" t="s">
        <v>248</v>
      </c>
      <c r="D45" s="101"/>
      <c r="E45" s="101"/>
      <c r="F45" s="101"/>
      <c r="G45" s="101"/>
      <c r="H45" s="101"/>
      <c r="I45" s="101"/>
      <c r="J45" s="779">
        <f>SUM(D46:I46)</f>
        <v>9</v>
      </c>
      <c r="K45" s="106" t="s">
        <v>298</v>
      </c>
      <c r="L45" s="106" t="s">
        <v>249</v>
      </c>
      <c r="M45" s="106" t="s">
        <v>299</v>
      </c>
      <c r="N45" s="107"/>
      <c r="O45" s="106" t="s">
        <v>252</v>
      </c>
      <c r="P45" s="106" t="s">
        <v>253</v>
      </c>
      <c r="Q45" s="106" t="s">
        <v>254</v>
      </c>
      <c r="R45" s="777"/>
      <c r="S45" s="778">
        <f>TRUNC(R45*J45,2)</f>
        <v>0</v>
      </c>
      <c r="T45" s="770">
        <v>561.71</v>
      </c>
      <c r="U45" s="770">
        <f>J45*T45</f>
        <v>5055.3900000000003</v>
      </c>
    </row>
    <row r="46" spans="1:21" ht="17.45" customHeight="1">
      <c r="A46" s="779"/>
      <c r="B46" s="780"/>
      <c r="C46" s="781"/>
      <c r="D46" s="101">
        <v>3</v>
      </c>
      <c r="E46" s="101">
        <v>1</v>
      </c>
      <c r="F46" s="101">
        <v>2</v>
      </c>
      <c r="G46" s="101">
        <v>1</v>
      </c>
      <c r="H46" s="101">
        <v>1</v>
      </c>
      <c r="I46" s="101">
        <v>1</v>
      </c>
      <c r="J46" s="779"/>
      <c r="K46" s="106">
        <v>494.14</v>
      </c>
      <c r="L46" s="106">
        <v>473.9</v>
      </c>
      <c r="M46" s="106">
        <v>717.09</v>
      </c>
      <c r="N46" s="107"/>
      <c r="O46" s="106">
        <v>360</v>
      </c>
      <c r="P46" s="106">
        <v>330</v>
      </c>
      <c r="Q46" s="106">
        <v>186.9</v>
      </c>
      <c r="R46" s="777"/>
      <c r="S46" s="778"/>
      <c r="T46" s="770"/>
      <c r="U46" s="770"/>
    </row>
    <row r="47" spans="1:21" ht="17.45" customHeight="1">
      <c r="A47" s="774">
        <v>24</v>
      </c>
      <c r="B47" s="775" t="s">
        <v>300</v>
      </c>
      <c r="C47" s="776" t="s">
        <v>248</v>
      </c>
      <c r="D47" s="109"/>
      <c r="E47" s="109"/>
      <c r="F47" s="109"/>
      <c r="G47" s="109"/>
      <c r="H47" s="109"/>
      <c r="I47" s="109"/>
      <c r="J47" s="774">
        <f>SUM(D48:I48)</f>
        <v>15</v>
      </c>
      <c r="K47" s="117" t="s">
        <v>249</v>
      </c>
      <c r="L47" s="117" t="s">
        <v>250</v>
      </c>
      <c r="M47" s="117" t="s">
        <v>256</v>
      </c>
      <c r="N47" s="107"/>
      <c r="O47" s="117" t="s">
        <v>252</v>
      </c>
      <c r="P47" s="117" t="s">
        <v>253</v>
      </c>
      <c r="Q47" s="117" t="s">
        <v>254</v>
      </c>
      <c r="R47" s="777"/>
      <c r="S47" s="778">
        <f>TRUNC(R47*J47,2)</f>
        <v>0</v>
      </c>
      <c r="T47" s="770">
        <v>31.52</v>
      </c>
      <c r="U47" s="770">
        <f>J47*T47</f>
        <v>472.8</v>
      </c>
    </row>
    <row r="48" spans="1:21" ht="33" customHeight="1">
      <c r="A48" s="774"/>
      <c r="B48" s="775"/>
      <c r="C48" s="776"/>
      <c r="D48" s="109">
        <v>6</v>
      </c>
      <c r="E48" s="109">
        <v>2</v>
      </c>
      <c r="F48" s="109">
        <v>3</v>
      </c>
      <c r="G48" s="109">
        <v>2</v>
      </c>
      <c r="H48" s="109">
        <v>1</v>
      </c>
      <c r="I48" s="109">
        <v>1</v>
      </c>
      <c r="J48" s="774"/>
      <c r="K48" s="113">
        <v>29.99</v>
      </c>
      <c r="L48" s="113">
        <v>31.9</v>
      </c>
      <c r="M48" s="113">
        <v>32.68</v>
      </c>
      <c r="N48" s="114"/>
      <c r="O48" s="113">
        <v>40</v>
      </c>
      <c r="P48" s="113">
        <v>18</v>
      </c>
      <c r="Q48" s="113">
        <v>44.98</v>
      </c>
      <c r="R48" s="777"/>
      <c r="S48" s="778"/>
      <c r="T48" s="770"/>
      <c r="U48" s="770"/>
    </row>
    <row r="49" spans="1:21" ht="33" customHeight="1">
      <c r="A49" s="121">
        <v>25</v>
      </c>
      <c r="B49" s="122" t="s">
        <v>301</v>
      </c>
      <c r="C49" s="123" t="s">
        <v>248</v>
      </c>
      <c r="D49" s="121"/>
      <c r="E49" s="121"/>
      <c r="F49" s="121"/>
      <c r="G49" s="121"/>
      <c r="H49" s="121"/>
      <c r="I49" s="121"/>
      <c r="J49" s="121">
        <v>3</v>
      </c>
      <c r="K49" s="113"/>
      <c r="L49" s="113"/>
      <c r="M49" s="113"/>
      <c r="N49" s="114"/>
      <c r="O49" s="113"/>
      <c r="P49" s="113"/>
      <c r="Q49" s="113"/>
      <c r="R49" s="96"/>
      <c r="S49" s="96"/>
      <c r="T49" s="105"/>
      <c r="U49" s="105"/>
    </row>
    <row r="50" spans="1:21" ht="33" customHeight="1">
      <c r="A50" s="109">
        <v>26</v>
      </c>
      <c r="B50" s="110" t="s">
        <v>302</v>
      </c>
      <c r="C50" s="9" t="s">
        <v>248</v>
      </c>
      <c r="D50" s="109"/>
      <c r="E50" s="109"/>
      <c r="F50" s="109"/>
      <c r="G50" s="109"/>
      <c r="H50" s="109"/>
      <c r="I50" s="109"/>
      <c r="J50" s="109">
        <v>3</v>
      </c>
      <c r="K50" s="113"/>
      <c r="L50" s="113"/>
      <c r="M50" s="113"/>
      <c r="N50" s="114"/>
      <c r="O50" s="113"/>
      <c r="P50" s="113"/>
      <c r="Q50" s="113"/>
      <c r="R50" s="96"/>
      <c r="S50" s="96"/>
      <c r="T50" s="105"/>
      <c r="U50" s="105"/>
    </row>
    <row r="51" spans="1:21" ht="33" customHeight="1">
      <c r="A51" s="121">
        <v>27</v>
      </c>
      <c r="B51" s="122" t="s">
        <v>303</v>
      </c>
      <c r="C51" s="123" t="s">
        <v>248</v>
      </c>
      <c r="D51" s="121"/>
      <c r="E51" s="121"/>
      <c r="F51" s="121"/>
      <c r="G51" s="121"/>
      <c r="H51" s="121"/>
      <c r="I51" s="121"/>
      <c r="J51" s="121">
        <v>3</v>
      </c>
      <c r="K51" s="113"/>
      <c r="L51" s="113"/>
      <c r="M51" s="113"/>
      <c r="N51" s="114"/>
      <c r="O51" s="113"/>
      <c r="P51" s="113"/>
      <c r="Q51" s="113"/>
      <c r="R51" s="96"/>
      <c r="S51" s="96"/>
      <c r="T51" s="105"/>
      <c r="U51" s="105"/>
    </row>
    <row r="52" spans="1:21" ht="33" customHeight="1">
      <c r="A52" s="109">
        <v>28</v>
      </c>
      <c r="B52" s="110" t="s">
        <v>304</v>
      </c>
      <c r="C52" s="9" t="s">
        <v>248</v>
      </c>
      <c r="D52" s="109"/>
      <c r="E52" s="109"/>
      <c r="F52" s="109"/>
      <c r="G52" s="109"/>
      <c r="H52" s="109"/>
      <c r="I52" s="109"/>
      <c r="J52" s="109">
        <v>2</v>
      </c>
      <c r="K52" s="113"/>
      <c r="L52" s="113"/>
      <c r="M52" s="113"/>
      <c r="N52" s="114"/>
      <c r="O52" s="113"/>
      <c r="P52" s="113"/>
      <c r="Q52" s="113"/>
      <c r="R52" s="96"/>
      <c r="S52" s="96"/>
      <c r="T52" s="105"/>
      <c r="U52" s="105"/>
    </row>
    <row r="53" spans="1:21" ht="19.149999999999999" customHeight="1">
      <c r="A53" s="779">
        <v>29</v>
      </c>
      <c r="B53" s="780" t="s">
        <v>305</v>
      </c>
      <c r="C53" s="781" t="s">
        <v>248</v>
      </c>
      <c r="D53" s="101"/>
      <c r="E53" s="101"/>
      <c r="F53" s="101"/>
      <c r="G53" s="101"/>
      <c r="H53" s="101"/>
      <c r="I53" s="101"/>
      <c r="J53" s="779">
        <f>SUM(D54:I54)</f>
        <v>5</v>
      </c>
      <c r="K53" s="119" t="s">
        <v>272</v>
      </c>
      <c r="L53" s="119" t="s">
        <v>250</v>
      </c>
      <c r="M53" s="119" t="s">
        <v>264</v>
      </c>
      <c r="N53" s="114"/>
      <c r="O53" s="119" t="s">
        <v>252</v>
      </c>
      <c r="P53" s="119" t="s">
        <v>253</v>
      </c>
      <c r="Q53" s="119" t="s">
        <v>254</v>
      </c>
      <c r="R53" s="777"/>
      <c r="S53" s="778">
        <f>TRUNC(R53*J53,2)</f>
        <v>0</v>
      </c>
      <c r="T53" s="770">
        <v>629.9</v>
      </c>
      <c r="U53" s="770">
        <f>J53*T53</f>
        <v>3149.5</v>
      </c>
    </row>
    <row r="54" spans="1:21" ht="27.6" customHeight="1">
      <c r="A54" s="779"/>
      <c r="B54" s="780"/>
      <c r="C54" s="781"/>
      <c r="D54" s="101">
        <v>1</v>
      </c>
      <c r="E54" s="101">
        <v>1</v>
      </c>
      <c r="F54" s="101">
        <v>1</v>
      </c>
      <c r="G54" s="101">
        <v>1</v>
      </c>
      <c r="H54" s="101">
        <v>0</v>
      </c>
      <c r="I54" s="101">
        <v>1</v>
      </c>
      <c r="J54" s="779"/>
      <c r="K54" s="119">
        <v>646.9</v>
      </c>
      <c r="L54" s="119">
        <v>489.9</v>
      </c>
      <c r="M54" s="119">
        <v>749.9</v>
      </c>
      <c r="N54" s="114"/>
      <c r="O54" s="119">
        <v>900</v>
      </c>
      <c r="P54" s="119">
        <v>1450</v>
      </c>
      <c r="Q54" s="119">
        <v>1800</v>
      </c>
      <c r="R54" s="777"/>
      <c r="S54" s="778"/>
      <c r="T54" s="770"/>
      <c r="U54" s="770"/>
    </row>
    <row r="55" spans="1:21" ht="18" customHeight="1">
      <c r="A55" s="774">
        <v>30</v>
      </c>
      <c r="B55" s="775" t="s">
        <v>306</v>
      </c>
      <c r="C55" s="776" t="s">
        <v>248</v>
      </c>
      <c r="D55" s="109"/>
      <c r="E55" s="109"/>
      <c r="F55" s="109"/>
      <c r="G55" s="109"/>
      <c r="H55" s="109"/>
      <c r="I55" s="109"/>
      <c r="J55" s="774" t="e">
        <f>SUM(#REF!)</f>
        <v>#REF!</v>
      </c>
      <c r="K55" s="117" t="s">
        <v>307</v>
      </c>
      <c r="L55" s="117" t="s">
        <v>299</v>
      </c>
      <c r="M55" s="117" t="s">
        <v>250</v>
      </c>
      <c r="N55" s="107"/>
      <c r="O55" s="117" t="s">
        <v>252</v>
      </c>
      <c r="P55" s="117" t="s">
        <v>253</v>
      </c>
      <c r="Q55" s="117" t="s">
        <v>254</v>
      </c>
      <c r="R55" s="777"/>
      <c r="S55" s="778" t="e">
        <f>TRUNC(R55*J55,2)</f>
        <v>#REF!</v>
      </c>
      <c r="T55" s="770">
        <v>52.75</v>
      </c>
      <c r="U55" s="770" t="e">
        <f>J55*T55</f>
        <v>#REF!</v>
      </c>
    </row>
    <row r="56" spans="1:21" ht="18" customHeight="1">
      <c r="A56" s="774"/>
      <c r="B56" s="775"/>
      <c r="C56" s="776"/>
      <c r="D56" s="109"/>
      <c r="E56" s="109"/>
      <c r="F56" s="109"/>
      <c r="G56" s="109"/>
      <c r="H56" s="109"/>
      <c r="I56" s="109"/>
      <c r="J56" s="774"/>
      <c r="K56" s="117"/>
      <c r="L56" s="117"/>
      <c r="M56" s="117"/>
      <c r="N56" s="107"/>
      <c r="O56" s="117"/>
      <c r="P56" s="117"/>
      <c r="Q56" s="117"/>
      <c r="R56" s="777"/>
      <c r="S56" s="778"/>
      <c r="T56" s="770"/>
      <c r="U56" s="770"/>
    </row>
    <row r="57" spans="1:21" ht="18" customHeight="1">
      <c r="A57" s="774"/>
      <c r="B57" s="775"/>
      <c r="C57" s="776"/>
      <c r="D57" s="109"/>
      <c r="E57" s="109"/>
      <c r="F57" s="109"/>
      <c r="G57" s="109"/>
      <c r="H57" s="109"/>
      <c r="I57" s="109"/>
      <c r="J57" s="774"/>
      <c r="K57" s="117"/>
      <c r="L57" s="117"/>
      <c r="M57" s="117"/>
      <c r="N57" s="107"/>
      <c r="O57" s="117"/>
      <c r="P57" s="117"/>
      <c r="Q57" s="117"/>
      <c r="R57" s="777"/>
      <c r="S57" s="778"/>
      <c r="T57" s="770"/>
      <c r="U57" s="770"/>
    </row>
    <row r="58" spans="1:21" ht="21" customHeight="1">
      <c r="A58" s="771" t="s">
        <v>308</v>
      </c>
      <c r="B58" s="771"/>
      <c r="C58" s="771"/>
      <c r="D58" s="771"/>
      <c r="E58" s="771"/>
      <c r="F58" s="771"/>
      <c r="G58" s="771"/>
      <c r="H58" s="771"/>
      <c r="I58" s="771"/>
      <c r="J58" s="771"/>
      <c r="K58" s="771"/>
      <c r="L58" s="771"/>
      <c r="M58" s="771"/>
      <c r="N58" s="771"/>
      <c r="O58" s="771"/>
      <c r="P58" s="771"/>
      <c r="Q58" s="771"/>
      <c r="R58" s="771"/>
      <c r="S58" s="124" t="e">
        <f>SUM(S3:S55)</f>
        <v>#REF!</v>
      </c>
      <c r="T58" s="125"/>
      <c r="U58" s="126" t="e">
        <f>SUM(U3:U55)</f>
        <v>#REF!</v>
      </c>
    </row>
    <row r="59" spans="1:21" ht="24" customHeight="1">
      <c r="A59" s="772" t="s">
        <v>309</v>
      </c>
      <c r="B59" s="772"/>
      <c r="C59" s="772"/>
      <c r="D59" s="772"/>
      <c r="E59" s="772"/>
      <c r="F59" s="772"/>
      <c r="G59" s="772"/>
      <c r="H59" s="772"/>
      <c r="I59" s="772"/>
      <c r="J59" s="772"/>
      <c r="K59" s="772"/>
      <c r="L59" s="772"/>
      <c r="M59" s="772"/>
      <c r="N59" s="772"/>
      <c r="O59" s="772"/>
      <c r="P59" s="772"/>
      <c r="Q59" s="772"/>
      <c r="R59" s="772"/>
      <c r="S59" s="127" t="e">
        <f>(S58*0.9)/(12*8)*12</f>
        <v>#REF!</v>
      </c>
      <c r="T59" s="125"/>
      <c r="U59" s="126" t="e">
        <f>(U58*0.9)/(12*8)*12</f>
        <v>#REF!</v>
      </c>
    </row>
    <row r="60" spans="1:21" ht="26.45" customHeight="1">
      <c r="A60" s="772" t="s">
        <v>310</v>
      </c>
      <c r="B60" s="772"/>
      <c r="C60" s="772"/>
      <c r="D60" s="772"/>
      <c r="E60" s="772"/>
      <c r="F60" s="772"/>
      <c r="G60" s="772"/>
      <c r="H60" s="772"/>
      <c r="I60" s="772"/>
      <c r="J60" s="772"/>
      <c r="K60" s="772"/>
      <c r="L60" s="772"/>
      <c r="M60" s="772"/>
      <c r="N60" s="772"/>
      <c r="O60" s="772"/>
      <c r="P60" s="772"/>
      <c r="Q60" s="772"/>
      <c r="R60" s="772"/>
      <c r="S60" s="128" t="e">
        <f>S59/12/24</f>
        <v>#REF!</v>
      </c>
      <c r="T60" s="125"/>
      <c r="U60" s="126" t="e">
        <f>U59/12/24</f>
        <v>#REF!</v>
      </c>
    </row>
    <row r="61" spans="1:21" ht="15.6" customHeight="1">
      <c r="A61" s="129" t="s">
        <v>311</v>
      </c>
      <c r="B61" s="129"/>
      <c r="C61" s="129"/>
      <c r="D61" s="129"/>
      <c r="E61" s="129"/>
      <c r="F61" s="129"/>
      <c r="G61" s="129"/>
      <c r="H61" s="129"/>
      <c r="I61" s="129"/>
      <c r="J61" s="129"/>
      <c r="K61" s="130"/>
      <c r="L61" s="131"/>
      <c r="M61" s="132"/>
      <c r="N61" s="133"/>
      <c r="O61" s="132"/>
      <c r="P61" s="132"/>
      <c r="Q61" s="132"/>
      <c r="R61" s="134"/>
      <c r="S61" s="135"/>
    </row>
    <row r="62" spans="1:21" ht="16.899999999999999" customHeight="1">
      <c r="A62" s="773" t="s">
        <v>312</v>
      </c>
      <c r="B62" s="773"/>
      <c r="C62" s="773"/>
      <c r="D62" s="773"/>
      <c r="E62" s="773"/>
      <c r="F62" s="773"/>
      <c r="G62" s="773"/>
      <c r="H62" s="773"/>
      <c r="I62" s="773"/>
      <c r="J62" s="773"/>
      <c r="K62" s="136"/>
      <c r="L62" s="132"/>
      <c r="M62" s="132"/>
      <c r="N62" s="133"/>
      <c r="O62" s="132"/>
      <c r="P62" s="132"/>
      <c r="Q62" s="132"/>
      <c r="R62" s="134"/>
      <c r="S62" s="135"/>
    </row>
    <row r="63" spans="1:21" ht="13.15" customHeight="1">
      <c r="A63" s="767" t="s">
        <v>51</v>
      </c>
      <c r="B63" s="767"/>
      <c r="C63" s="767"/>
      <c r="D63" s="767"/>
      <c r="E63" s="767"/>
      <c r="F63" s="767"/>
      <c r="G63" s="767"/>
      <c r="H63" s="767"/>
      <c r="I63" s="767"/>
      <c r="J63" s="767"/>
      <c r="K63" s="767"/>
      <c r="L63" s="767"/>
      <c r="M63" s="767"/>
      <c r="N63" s="767"/>
      <c r="O63" s="767"/>
      <c r="P63" s="767"/>
      <c r="Q63" s="767"/>
      <c r="R63" s="767"/>
      <c r="S63" s="767"/>
      <c r="T63" s="767"/>
      <c r="U63" s="767"/>
    </row>
    <row r="64" spans="1:21" ht="36.6" customHeight="1">
      <c r="A64" s="768" t="s">
        <v>313</v>
      </c>
      <c r="B64" s="768"/>
      <c r="C64" s="768"/>
      <c r="D64" s="768"/>
      <c r="E64" s="768"/>
      <c r="F64" s="768"/>
      <c r="G64" s="768"/>
      <c r="H64" s="768"/>
      <c r="I64" s="768"/>
      <c r="J64" s="768"/>
      <c r="K64" s="768"/>
      <c r="L64" s="768"/>
      <c r="M64" s="768"/>
      <c r="N64" s="768"/>
      <c r="O64" s="768"/>
      <c r="P64" s="768"/>
      <c r="Q64" s="768"/>
      <c r="R64" s="768"/>
      <c r="S64" s="768"/>
      <c r="T64" s="768"/>
      <c r="U64" s="768"/>
    </row>
    <row r="66" spans="1:20">
      <c r="A66" s="769"/>
      <c r="B66" s="769"/>
      <c r="C66" s="769"/>
      <c r="D66" s="769"/>
      <c r="E66" s="769"/>
      <c r="F66" s="769"/>
      <c r="G66" s="769"/>
      <c r="H66" s="769"/>
      <c r="I66" s="769"/>
      <c r="J66" s="769"/>
      <c r="K66" s="769"/>
      <c r="L66" s="769"/>
      <c r="M66" s="769"/>
      <c r="N66" s="769"/>
      <c r="O66" s="769"/>
      <c r="P66" s="769"/>
      <c r="Q66" s="769"/>
      <c r="R66" s="769"/>
      <c r="S66" s="769"/>
      <c r="T66" s="769"/>
    </row>
    <row r="67" spans="1:20">
      <c r="A67" s="769"/>
      <c r="B67" s="769"/>
      <c r="C67" s="769"/>
      <c r="D67" s="769"/>
      <c r="E67" s="769"/>
      <c r="F67" s="769"/>
      <c r="G67" s="769"/>
      <c r="H67" s="769"/>
      <c r="I67" s="769"/>
      <c r="J67" s="769"/>
      <c r="K67" s="769"/>
      <c r="L67" s="769"/>
      <c r="M67" s="769"/>
      <c r="N67" s="769"/>
      <c r="O67" s="769"/>
      <c r="P67" s="769"/>
      <c r="Q67" s="769"/>
      <c r="R67" s="769"/>
      <c r="S67" s="769"/>
      <c r="T67" s="769"/>
    </row>
  </sheetData>
  <mergeCells count="212">
    <mergeCell ref="A1:J1"/>
    <mergeCell ref="K1:Q2"/>
    <mergeCell ref="R1:S1"/>
    <mergeCell ref="T1:U1"/>
    <mergeCell ref="A3:A4"/>
    <mergeCell ref="B3:B4"/>
    <mergeCell ref="C3:C4"/>
    <mergeCell ref="J3:J4"/>
    <mergeCell ref="R3:R4"/>
    <mergeCell ref="S3:S4"/>
    <mergeCell ref="T3:T4"/>
    <mergeCell ref="U3:U4"/>
    <mergeCell ref="A5:A6"/>
    <mergeCell ref="B5:B6"/>
    <mergeCell ref="C5:C6"/>
    <mergeCell ref="J5:J6"/>
    <mergeCell ref="R5:R6"/>
    <mergeCell ref="S5:S6"/>
    <mergeCell ref="T5:T6"/>
    <mergeCell ref="U5:U6"/>
    <mergeCell ref="T7:T8"/>
    <mergeCell ref="U7:U8"/>
    <mergeCell ref="A9:A10"/>
    <mergeCell ref="B9:B10"/>
    <mergeCell ref="C9:C10"/>
    <mergeCell ref="J9:J10"/>
    <mergeCell ref="R9:R10"/>
    <mergeCell ref="S9:S10"/>
    <mergeCell ref="T9:T10"/>
    <mergeCell ref="U9:U10"/>
    <mergeCell ref="A7:A8"/>
    <mergeCell ref="B7:B8"/>
    <mergeCell ref="C7:C8"/>
    <mergeCell ref="J7:J8"/>
    <mergeCell ref="R7:R8"/>
    <mergeCell ref="S7:S8"/>
    <mergeCell ref="T11:T12"/>
    <mergeCell ref="U11:U12"/>
    <mergeCell ref="A13:A14"/>
    <mergeCell ref="B13:B14"/>
    <mergeCell ref="C13:C14"/>
    <mergeCell ref="J13:J14"/>
    <mergeCell ref="R13:R14"/>
    <mergeCell ref="S13:S14"/>
    <mergeCell ref="T13:T14"/>
    <mergeCell ref="U13:U14"/>
    <mergeCell ref="A11:A12"/>
    <mergeCell ref="B11:B12"/>
    <mergeCell ref="C11:C12"/>
    <mergeCell ref="J11:J12"/>
    <mergeCell ref="R11:R12"/>
    <mergeCell ref="S11:S12"/>
    <mergeCell ref="T15:T16"/>
    <mergeCell ref="U15:U16"/>
    <mergeCell ref="A17:A18"/>
    <mergeCell ref="B17:B18"/>
    <mergeCell ref="C17:C18"/>
    <mergeCell ref="J17:J18"/>
    <mergeCell ref="R17:R18"/>
    <mergeCell ref="S17:S18"/>
    <mergeCell ref="T17:T18"/>
    <mergeCell ref="U17:U18"/>
    <mergeCell ref="A15:A16"/>
    <mergeCell ref="B15:B16"/>
    <mergeCell ref="C15:C16"/>
    <mergeCell ref="J15:J16"/>
    <mergeCell ref="R15:R16"/>
    <mergeCell ref="S15:S16"/>
    <mergeCell ref="T19:T20"/>
    <mergeCell ref="U19:U20"/>
    <mergeCell ref="A21:A22"/>
    <mergeCell ref="B21:B22"/>
    <mergeCell ref="C21:C22"/>
    <mergeCell ref="J21:J22"/>
    <mergeCell ref="R21:R22"/>
    <mergeCell ref="S21:S22"/>
    <mergeCell ref="T21:T22"/>
    <mergeCell ref="U21:U22"/>
    <mergeCell ref="A19:A20"/>
    <mergeCell ref="B19:B20"/>
    <mergeCell ref="C19:C20"/>
    <mergeCell ref="J19:J20"/>
    <mergeCell ref="R19:R20"/>
    <mergeCell ref="S19:S20"/>
    <mergeCell ref="T23:T24"/>
    <mergeCell ref="U23:U24"/>
    <mergeCell ref="A25:A26"/>
    <mergeCell ref="B25:B26"/>
    <mergeCell ref="C25:C26"/>
    <mergeCell ref="J25:J26"/>
    <mergeCell ref="R25:R26"/>
    <mergeCell ref="S25:S26"/>
    <mergeCell ref="T25:T26"/>
    <mergeCell ref="U25:U26"/>
    <mergeCell ref="A23:A24"/>
    <mergeCell ref="B23:B24"/>
    <mergeCell ref="C23:C24"/>
    <mergeCell ref="J23:J24"/>
    <mergeCell ref="R23:R24"/>
    <mergeCell ref="S23:S24"/>
    <mergeCell ref="T27:T28"/>
    <mergeCell ref="U27:U28"/>
    <mergeCell ref="A29:A30"/>
    <mergeCell ref="B29:B30"/>
    <mergeCell ref="C29:C30"/>
    <mergeCell ref="J29:J30"/>
    <mergeCell ref="R29:R30"/>
    <mergeCell ref="S29:S30"/>
    <mergeCell ref="T29:T30"/>
    <mergeCell ref="U29:U30"/>
    <mergeCell ref="A27:A28"/>
    <mergeCell ref="B27:B28"/>
    <mergeCell ref="C27:C28"/>
    <mergeCell ref="J27:J28"/>
    <mergeCell ref="R27:R28"/>
    <mergeCell ref="S27:S28"/>
    <mergeCell ref="T31:T32"/>
    <mergeCell ref="U31:U32"/>
    <mergeCell ref="A33:A34"/>
    <mergeCell ref="B33:B34"/>
    <mergeCell ref="C33:C34"/>
    <mergeCell ref="J33:J34"/>
    <mergeCell ref="R33:R34"/>
    <mergeCell ref="S33:S34"/>
    <mergeCell ref="T33:T34"/>
    <mergeCell ref="U33:U34"/>
    <mergeCell ref="A31:A32"/>
    <mergeCell ref="B31:B32"/>
    <mergeCell ref="C31:C32"/>
    <mergeCell ref="J31:J32"/>
    <mergeCell ref="R31:R32"/>
    <mergeCell ref="S31:S32"/>
    <mergeCell ref="T35:T36"/>
    <mergeCell ref="U35:U36"/>
    <mergeCell ref="A37:A38"/>
    <mergeCell ref="B37:B38"/>
    <mergeCell ref="C37:C38"/>
    <mergeCell ref="J37:J38"/>
    <mergeCell ref="R37:R38"/>
    <mergeCell ref="S37:S38"/>
    <mergeCell ref="T37:T38"/>
    <mergeCell ref="U37:U38"/>
    <mergeCell ref="A35:A36"/>
    <mergeCell ref="B35:B36"/>
    <mergeCell ref="C35:C36"/>
    <mergeCell ref="J35:J36"/>
    <mergeCell ref="R35:R36"/>
    <mergeCell ref="S35:S36"/>
    <mergeCell ref="T39:T40"/>
    <mergeCell ref="U39:U40"/>
    <mergeCell ref="A41:A42"/>
    <mergeCell ref="B41:B42"/>
    <mergeCell ref="C41:C42"/>
    <mergeCell ref="J41:J42"/>
    <mergeCell ref="R41:R42"/>
    <mergeCell ref="S41:S42"/>
    <mergeCell ref="T41:T42"/>
    <mergeCell ref="U41:U42"/>
    <mergeCell ref="A39:A40"/>
    <mergeCell ref="B39:B40"/>
    <mergeCell ref="C39:C40"/>
    <mergeCell ref="J39:J40"/>
    <mergeCell ref="R39:R40"/>
    <mergeCell ref="S39:S40"/>
    <mergeCell ref="T43:T44"/>
    <mergeCell ref="U43:U44"/>
    <mergeCell ref="A45:A46"/>
    <mergeCell ref="B45:B46"/>
    <mergeCell ref="C45:C46"/>
    <mergeCell ref="J45:J46"/>
    <mergeCell ref="R45:R46"/>
    <mergeCell ref="S45:S46"/>
    <mergeCell ref="T45:T46"/>
    <mergeCell ref="U45:U46"/>
    <mergeCell ref="A43:A44"/>
    <mergeCell ref="B43:B44"/>
    <mergeCell ref="C43:C44"/>
    <mergeCell ref="J43:J44"/>
    <mergeCell ref="R43:R44"/>
    <mergeCell ref="S43:S44"/>
    <mergeCell ref="T47:T48"/>
    <mergeCell ref="U47:U48"/>
    <mergeCell ref="A53:A54"/>
    <mergeCell ref="B53:B54"/>
    <mergeCell ref="C53:C54"/>
    <mergeCell ref="J53:J54"/>
    <mergeCell ref="R53:R54"/>
    <mergeCell ref="S53:S54"/>
    <mergeCell ref="T53:T54"/>
    <mergeCell ref="U53:U54"/>
    <mergeCell ref="A47:A48"/>
    <mergeCell ref="B47:B48"/>
    <mergeCell ref="C47:C48"/>
    <mergeCell ref="J47:J48"/>
    <mergeCell ref="R47:R48"/>
    <mergeCell ref="S47:S48"/>
    <mergeCell ref="A63:U63"/>
    <mergeCell ref="A64:U64"/>
    <mergeCell ref="A66:T66"/>
    <mergeCell ref="A67:T67"/>
    <mergeCell ref="T55:T57"/>
    <mergeCell ref="U55:U57"/>
    <mergeCell ref="A58:R58"/>
    <mergeCell ref="A59:R59"/>
    <mergeCell ref="A60:R60"/>
    <mergeCell ref="A62:J62"/>
    <mergeCell ref="A55:A57"/>
    <mergeCell ref="B55:B57"/>
    <mergeCell ref="C55:C57"/>
    <mergeCell ref="J55:J57"/>
    <mergeCell ref="R55:R57"/>
    <mergeCell ref="S55:S57"/>
  </mergeCells>
  <printOptions horizontalCentered="1" verticalCentered="1"/>
  <pageMargins left="0.25" right="0.25" top="0.75" bottom="0.75" header="0.30000000000000004" footer="0.30000000000000004"/>
  <pageSetup paperSize="0" fitToWidth="0" fitToHeight="0" orientation="landscape" horizontalDpi="0" verticalDpi="0" copie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MJ20"/>
  <sheetViews>
    <sheetView workbookViewId="0"/>
  </sheetViews>
  <sheetFormatPr defaultRowHeight="15"/>
  <cols>
    <col min="1" max="1" width="7.140625" style="8" customWidth="1"/>
    <col min="2" max="2" width="22.28515625" style="8" customWidth="1"/>
    <col min="3" max="3" width="11.42578125" style="8" customWidth="1"/>
    <col min="4" max="7" width="12.140625" style="8" hidden="1" customWidth="1"/>
    <col min="8" max="8" width="10.28515625" style="8" customWidth="1"/>
    <col min="9" max="9" width="24.42578125" style="174" hidden="1" customWidth="1"/>
    <col min="10" max="10" width="16.28515625" style="174" hidden="1" customWidth="1"/>
    <col min="11" max="11" width="19.7109375" style="174" hidden="1" customWidth="1"/>
    <col min="12" max="12" width="22.28515625" style="174" hidden="1" customWidth="1"/>
    <col min="13" max="13" width="16.28515625" style="174" hidden="1" customWidth="1"/>
    <col min="14" max="16" width="18.140625" style="174" hidden="1" customWidth="1"/>
    <col min="17" max="17" width="13.7109375" style="174" customWidth="1"/>
    <col min="18" max="18" width="12" style="174" customWidth="1"/>
    <col min="19" max="19" width="13.7109375" style="175" hidden="1" customWidth="1"/>
    <col min="20" max="20" width="12" style="175" hidden="1" customWidth="1"/>
    <col min="21" max="1024" width="11.42578125" style="8" customWidth="1"/>
    <col min="1025" max="1025" width="9.140625" customWidth="1"/>
  </cols>
  <sheetData>
    <row r="1" spans="1:21" ht="44.45" customHeight="1">
      <c r="A1" s="797" t="s">
        <v>314</v>
      </c>
      <c r="B1" s="797"/>
      <c r="C1" s="797"/>
      <c r="D1" s="797"/>
      <c r="E1" s="797"/>
      <c r="F1" s="797"/>
      <c r="G1" s="797"/>
      <c r="H1" s="797"/>
      <c r="I1" s="797"/>
      <c r="J1" s="797"/>
      <c r="K1" s="797"/>
      <c r="L1" s="797"/>
      <c r="M1" s="797"/>
      <c r="N1" s="797"/>
      <c r="O1" s="797"/>
      <c r="P1" s="797"/>
      <c r="Q1" s="798" t="s">
        <v>242</v>
      </c>
      <c r="R1" s="798"/>
      <c r="S1" s="779" t="s">
        <v>315</v>
      </c>
      <c r="T1" s="779"/>
    </row>
    <row r="2" spans="1:21" ht="40.5" customHeight="1">
      <c r="A2" s="141" t="s">
        <v>39</v>
      </c>
      <c r="B2" s="141" t="s">
        <v>244</v>
      </c>
      <c r="C2" s="141" t="s">
        <v>164</v>
      </c>
      <c r="D2" s="142" t="s">
        <v>199</v>
      </c>
      <c r="E2" s="142" t="s">
        <v>222</v>
      </c>
      <c r="F2" s="142" t="s">
        <v>230</v>
      </c>
      <c r="G2" s="142" t="s">
        <v>231</v>
      </c>
      <c r="H2" s="12" t="s">
        <v>245</v>
      </c>
      <c r="I2" s="799" t="s">
        <v>316</v>
      </c>
      <c r="J2" s="799"/>
      <c r="K2" s="799"/>
      <c r="L2" s="799"/>
      <c r="M2" s="799"/>
      <c r="N2" s="799"/>
      <c r="O2" s="799"/>
      <c r="P2" s="799"/>
      <c r="Q2" s="11" t="s">
        <v>246</v>
      </c>
      <c r="R2" s="143" t="s">
        <v>245</v>
      </c>
      <c r="S2" s="97" t="s">
        <v>246</v>
      </c>
      <c r="T2" s="144" t="s">
        <v>245</v>
      </c>
    </row>
    <row r="3" spans="1:21" ht="21" customHeight="1">
      <c r="A3" s="795">
        <v>1</v>
      </c>
      <c r="B3" s="780" t="s">
        <v>317</v>
      </c>
      <c r="C3" s="781" t="s">
        <v>248</v>
      </c>
      <c r="D3" s="101"/>
      <c r="E3" s="101"/>
      <c r="F3" s="101"/>
      <c r="G3" s="101"/>
      <c r="H3" s="795">
        <f>SUM(D4:G4)</f>
        <v>4</v>
      </c>
      <c r="I3" s="145" t="s">
        <v>250</v>
      </c>
      <c r="J3" s="145"/>
      <c r="K3" s="145" t="s">
        <v>249</v>
      </c>
      <c r="L3" s="145" t="s">
        <v>251</v>
      </c>
      <c r="M3" s="146"/>
      <c r="N3" s="145" t="s">
        <v>252</v>
      </c>
      <c r="O3" s="145" t="s">
        <v>253</v>
      </c>
      <c r="P3" s="145" t="s">
        <v>254</v>
      </c>
      <c r="Q3" s="777"/>
      <c r="R3" s="792">
        <f>TRUNC(Q3*H3,2)</f>
        <v>0</v>
      </c>
      <c r="S3" s="793">
        <v>569.29999999999995</v>
      </c>
      <c r="T3" s="794">
        <v>2277.1999999999998</v>
      </c>
    </row>
    <row r="4" spans="1:21" ht="24" customHeight="1">
      <c r="A4" s="795"/>
      <c r="B4" s="780"/>
      <c r="C4" s="781"/>
      <c r="D4" s="94">
        <v>1</v>
      </c>
      <c r="E4" s="94">
        <v>1</v>
      </c>
      <c r="F4" s="94">
        <v>1</v>
      </c>
      <c r="G4" s="94">
        <v>1</v>
      </c>
      <c r="H4" s="795"/>
      <c r="I4" s="149">
        <v>589</v>
      </c>
      <c r="J4" s="150">
        <f>I4*H3</f>
        <v>2356</v>
      </c>
      <c r="K4" s="149">
        <v>539</v>
      </c>
      <c r="L4" s="149">
        <v>579.9</v>
      </c>
      <c r="M4" s="151">
        <f>H3*L4</f>
        <v>2319.6</v>
      </c>
      <c r="N4" s="149">
        <v>500</v>
      </c>
      <c r="O4" s="152">
        <v>1650</v>
      </c>
      <c r="P4" s="152">
        <v>3199</v>
      </c>
      <c r="Q4" s="777"/>
      <c r="R4" s="792"/>
      <c r="S4" s="793"/>
      <c r="T4" s="794"/>
      <c r="U4" s="153"/>
    </row>
    <row r="5" spans="1:21" ht="24" customHeight="1">
      <c r="A5" s="796">
        <v>2</v>
      </c>
      <c r="B5" s="775" t="s">
        <v>318</v>
      </c>
      <c r="C5" s="776" t="s">
        <v>248</v>
      </c>
      <c r="D5" s="154"/>
      <c r="E5" s="154"/>
      <c r="F5" s="154"/>
      <c r="G5" s="154"/>
      <c r="H5" s="796">
        <f>SUM(D6:G6)</f>
        <v>4</v>
      </c>
      <c r="I5" s="155" t="s">
        <v>292</v>
      </c>
      <c r="J5" s="156"/>
      <c r="K5" s="155" t="s">
        <v>264</v>
      </c>
      <c r="L5" s="157" t="s">
        <v>250</v>
      </c>
      <c r="M5" s="158"/>
      <c r="N5" s="157" t="s">
        <v>252</v>
      </c>
      <c r="O5" s="157" t="s">
        <v>253</v>
      </c>
      <c r="P5" s="157" t="s">
        <v>254</v>
      </c>
      <c r="Q5" s="777"/>
      <c r="R5" s="792">
        <f>TRUNC(Q5*H5,2)</f>
        <v>0</v>
      </c>
      <c r="S5" s="793">
        <v>653.33000000000004</v>
      </c>
      <c r="T5" s="794">
        <v>2613.3200000000002</v>
      </c>
      <c r="U5" s="153"/>
    </row>
    <row r="6" spans="1:21" ht="22.15" customHeight="1">
      <c r="A6" s="796"/>
      <c r="B6" s="775"/>
      <c r="C6" s="776"/>
      <c r="D6" s="154">
        <v>1</v>
      </c>
      <c r="E6" s="154">
        <v>1</v>
      </c>
      <c r="F6" s="154">
        <v>1</v>
      </c>
      <c r="G6" s="154">
        <v>1</v>
      </c>
      <c r="H6" s="796"/>
      <c r="I6" s="159">
        <v>584.1</v>
      </c>
      <c r="J6" s="160">
        <f>I6*H5</f>
        <v>2336.4</v>
      </c>
      <c r="K6" s="159">
        <v>549.99</v>
      </c>
      <c r="L6" s="159">
        <v>825.9</v>
      </c>
      <c r="M6" s="151">
        <f>H5*L6</f>
        <v>3303.6</v>
      </c>
      <c r="N6" s="159">
        <v>500</v>
      </c>
      <c r="O6" s="161">
        <v>420</v>
      </c>
      <c r="P6" s="161">
        <v>2799.99</v>
      </c>
      <c r="Q6" s="777"/>
      <c r="R6" s="792"/>
      <c r="S6" s="793"/>
      <c r="T6" s="794"/>
      <c r="U6" s="153"/>
    </row>
    <row r="7" spans="1:21" ht="22.9" customHeight="1">
      <c r="A7" s="795">
        <v>3</v>
      </c>
      <c r="B7" s="780" t="s">
        <v>319</v>
      </c>
      <c r="C7" s="781" t="s">
        <v>248</v>
      </c>
      <c r="D7" s="94"/>
      <c r="E7" s="94"/>
      <c r="F7" s="94"/>
      <c r="G7" s="94"/>
      <c r="H7" s="795">
        <v>4</v>
      </c>
      <c r="I7" s="162" t="s">
        <v>320</v>
      </c>
      <c r="J7" s="163"/>
      <c r="K7" s="164" t="s">
        <v>321</v>
      </c>
      <c r="L7" s="162" t="s">
        <v>250</v>
      </c>
      <c r="M7" s="158"/>
      <c r="N7" s="162" t="s">
        <v>252</v>
      </c>
      <c r="O7" s="162" t="s">
        <v>253</v>
      </c>
      <c r="P7" s="162" t="s">
        <v>254</v>
      </c>
      <c r="Q7" s="777"/>
      <c r="R7" s="792">
        <f>TRUNC(Q7*H7,2)</f>
        <v>0</v>
      </c>
      <c r="S7" s="793">
        <v>129.43</v>
      </c>
      <c r="T7" s="794">
        <v>517.71</v>
      </c>
      <c r="U7" s="153"/>
    </row>
    <row r="8" spans="1:21" ht="15.6" customHeight="1">
      <c r="A8" s="795"/>
      <c r="B8" s="780"/>
      <c r="C8" s="781"/>
      <c r="D8" s="94">
        <v>1</v>
      </c>
      <c r="E8" s="94">
        <v>1</v>
      </c>
      <c r="F8" s="94">
        <v>1</v>
      </c>
      <c r="G8" s="94">
        <v>1</v>
      </c>
      <c r="H8" s="795"/>
      <c r="I8" s="105">
        <v>95.87</v>
      </c>
      <c r="J8" s="165">
        <f>I8*H7</f>
        <v>383.48</v>
      </c>
      <c r="K8" s="105">
        <v>138.51</v>
      </c>
      <c r="L8" s="105">
        <v>153.9</v>
      </c>
      <c r="M8" s="151">
        <f>H7*L8</f>
        <v>615.6</v>
      </c>
      <c r="N8" s="105">
        <v>0</v>
      </c>
      <c r="O8" s="166">
        <v>70</v>
      </c>
      <c r="P8" s="105">
        <v>132</v>
      </c>
      <c r="Q8" s="777"/>
      <c r="R8" s="792"/>
      <c r="S8" s="793"/>
      <c r="T8" s="794"/>
      <c r="U8" s="153"/>
    </row>
    <row r="9" spans="1:21" ht="19.149999999999999" customHeight="1">
      <c r="A9" s="796">
        <v>4</v>
      </c>
      <c r="B9" s="775" t="s">
        <v>322</v>
      </c>
      <c r="C9" s="776" t="s">
        <v>248</v>
      </c>
      <c r="D9" s="154"/>
      <c r="E9" s="154"/>
      <c r="F9" s="154"/>
      <c r="G9" s="154"/>
      <c r="H9" s="796">
        <v>4</v>
      </c>
      <c r="I9" s="167" t="s">
        <v>298</v>
      </c>
      <c r="J9" s="168"/>
      <c r="K9" s="169" t="s">
        <v>249</v>
      </c>
      <c r="L9" s="169" t="s">
        <v>299</v>
      </c>
      <c r="M9" s="158"/>
      <c r="N9" s="157" t="s">
        <v>252</v>
      </c>
      <c r="O9" s="157" t="s">
        <v>253</v>
      </c>
      <c r="P9" s="157" t="s">
        <v>254</v>
      </c>
      <c r="Q9" s="777"/>
      <c r="R9" s="792">
        <f>TRUNC(Q9*H9,2)</f>
        <v>0</v>
      </c>
      <c r="S9" s="793">
        <v>561.71</v>
      </c>
      <c r="T9" s="794">
        <v>2246.84</v>
      </c>
      <c r="U9" s="153"/>
    </row>
    <row r="10" spans="1:21" ht="18" customHeight="1">
      <c r="A10" s="796"/>
      <c r="B10" s="775"/>
      <c r="C10" s="776"/>
      <c r="D10" s="154">
        <v>1</v>
      </c>
      <c r="E10" s="154">
        <v>1</v>
      </c>
      <c r="F10" s="154">
        <v>1</v>
      </c>
      <c r="G10" s="154">
        <v>1</v>
      </c>
      <c r="H10" s="796"/>
      <c r="I10" s="159">
        <v>494.14</v>
      </c>
      <c r="J10" s="160">
        <f>I10*H9</f>
        <v>1976.56</v>
      </c>
      <c r="K10" s="159">
        <v>473.9</v>
      </c>
      <c r="L10" s="159">
        <v>717.09</v>
      </c>
      <c r="M10" s="151">
        <f>H9*L10</f>
        <v>2868.36</v>
      </c>
      <c r="N10" s="159">
        <v>0</v>
      </c>
      <c r="O10" s="161">
        <v>100</v>
      </c>
      <c r="P10" s="159">
        <v>431.88</v>
      </c>
      <c r="Q10" s="777"/>
      <c r="R10" s="792"/>
      <c r="S10" s="793"/>
      <c r="T10" s="794"/>
      <c r="U10" s="153"/>
    </row>
    <row r="11" spans="1:21" ht="25.15" customHeight="1">
      <c r="A11" s="788" t="s">
        <v>323</v>
      </c>
      <c r="B11" s="788"/>
      <c r="C11" s="788"/>
      <c r="D11" s="788"/>
      <c r="E11" s="788"/>
      <c r="F11" s="788"/>
      <c r="G11" s="788"/>
      <c r="H11" s="788"/>
      <c r="I11" s="788"/>
      <c r="J11" s="788"/>
      <c r="K11" s="788"/>
      <c r="L11" s="788"/>
      <c r="M11" s="788"/>
      <c r="N11" s="788"/>
      <c r="O11" s="788"/>
      <c r="P11" s="788"/>
      <c r="Q11" s="170" t="s">
        <v>324</v>
      </c>
      <c r="R11" s="147">
        <f>SUM(R3:R9)</f>
        <v>0</v>
      </c>
      <c r="S11" s="171" t="s">
        <v>324</v>
      </c>
      <c r="T11" s="148">
        <f>SUM(T3:T9)</f>
        <v>7655.0700000000006</v>
      </c>
    </row>
    <row r="12" spans="1:21" ht="24.6" customHeight="1">
      <c r="A12" s="788" t="s">
        <v>325</v>
      </c>
      <c r="B12" s="788"/>
      <c r="C12" s="788"/>
      <c r="D12" s="788"/>
      <c r="E12" s="788"/>
      <c r="F12" s="788"/>
      <c r="G12" s="788"/>
      <c r="H12" s="788"/>
      <c r="I12" s="788"/>
      <c r="J12" s="788"/>
      <c r="K12" s="788"/>
      <c r="L12" s="788"/>
      <c r="M12" s="788"/>
      <c r="N12" s="788"/>
      <c r="O12" s="788"/>
      <c r="P12" s="788"/>
      <c r="Q12" s="170" t="s">
        <v>324</v>
      </c>
      <c r="R12" s="147">
        <f>(R11*0.9)/(12*8)*12</f>
        <v>0</v>
      </c>
      <c r="S12" s="171" t="s">
        <v>324</v>
      </c>
      <c r="T12" s="148">
        <f>(T11*0.9)/(12*8)*12</f>
        <v>861.19537500000001</v>
      </c>
    </row>
    <row r="13" spans="1:21" ht="26.45" customHeight="1">
      <c r="A13" s="789" t="s">
        <v>326</v>
      </c>
      <c r="B13" s="789"/>
      <c r="C13" s="789"/>
      <c r="D13" s="789"/>
      <c r="E13" s="789"/>
      <c r="F13" s="789"/>
      <c r="G13" s="789"/>
      <c r="H13" s="789"/>
      <c r="I13" s="789"/>
      <c r="J13" s="789"/>
      <c r="K13" s="789"/>
      <c r="L13" s="789"/>
      <c r="M13" s="789"/>
      <c r="N13" s="789"/>
      <c r="O13" s="789"/>
      <c r="P13" s="789"/>
      <c r="Q13" s="170" t="s">
        <v>324</v>
      </c>
      <c r="R13" s="172">
        <f>R12/12/4</f>
        <v>0</v>
      </c>
      <c r="S13" s="171" t="s">
        <v>324</v>
      </c>
      <c r="T13" s="148">
        <f>T12/12/4</f>
        <v>17.941570312500001</v>
      </c>
    </row>
    <row r="14" spans="1:21" ht="21.6" customHeight="1">
      <c r="A14" s="790" t="s">
        <v>311</v>
      </c>
      <c r="B14" s="790"/>
      <c r="C14" s="790"/>
      <c r="D14" s="790"/>
      <c r="E14" s="790"/>
      <c r="F14" s="790"/>
      <c r="G14" s="790"/>
      <c r="H14" s="790"/>
      <c r="I14" s="790"/>
      <c r="J14" s="790"/>
      <c r="K14" s="790"/>
      <c r="L14" s="790"/>
      <c r="M14" s="790"/>
      <c r="N14" s="790"/>
      <c r="O14" s="790"/>
      <c r="P14" s="790"/>
      <c r="Q14" s="790"/>
      <c r="R14" s="790"/>
      <c r="S14" s="790"/>
      <c r="T14" s="790"/>
    </row>
    <row r="15" spans="1:21" ht="20.45" customHeight="1">
      <c r="A15" s="787" t="s">
        <v>327</v>
      </c>
      <c r="B15" s="787"/>
      <c r="C15" s="787"/>
      <c r="D15" s="787"/>
      <c r="E15" s="787"/>
      <c r="F15" s="787"/>
      <c r="G15" s="787"/>
      <c r="H15" s="787"/>
      <c r="I15" s="787"/>
      <c r="J15" s="787"/>
      <c r="K15" s="787"/>
      <c r="L15" s="787"/>
      <c r="M15" s="787"/>
      <c r="N15" s="787"/>
      <c r="O15" s="787"/>
      <c r="P15" s="787"/>
      <c r="Q15" s="787"/>
      <c r="R15" s="787"/>
      <c r="S15" s="787"/>
      <c r="T15" s="787"/>
    </row>
    <row r="16" spans="1:21" ht="20.45" customHeight="1">
      <c r="A16" s="173" t="s">
        <v>328</v>
      </c>
      <c r="B16" s="173"/>
      <c r="C16" s="173"/>
      <c r="D16" s="173"/>
      <c r="E16" s="173"/>
      <c r="F16" s="173"/>
      <c r="G16" s="173"/>
      <c r="H16" s="173"/>
      <c r="I16" s="173"/>
      <c r="J16" s="173"/>
      <c r="K16" s="173"/>
      <c r="L16" s="173"/>
      <c r="M16" s="173"/>
      <c r="N16" s="173"/>
      <c r="O16" s="173"/>
      <c r="P16" s="173"/>
      <c r="Q16" s="173"/>
      <c r="R16" s="173"/>
      <c r="S16" s="173"/>
      <c r="T16" s="173"/>
    </row>
    <row r="17" spans="1:20" ht="39.6" customHeight="1">
      <c r="A17" s="791" t="s">
        <v>329</v>
      </c>
      <c r="B17" s="791"/>
      <c r="C17" s="791"/>
      <c r="D17" s="791"/>
      <c r="E17" s="791"/>
      <c r="F17" s="791"/>
      <c r="G17" s="791"/>
      <c r="H17" s="791"/>
      <c r="I17" s="791"/>
      <c r="J17" s="791"/>
      <c r="K17" s="791"/>
      <c r="L17" s="791"/>
      <c r="M17" s="791"/>
      <c r="N17" s="791"/>
      <c r="O17" s="791"/>
      <c r="P17" s="791"/>
      <c r="Q17" s="791"/>
      <c r="R17" s="791"/>
      <c r="S17" s="791"/>
      <c r="T17" s="791"/>
    </row>
    <row r="18" spans="1:20" ht="15.75">
      <c r="A18" s="787" t="s">
        <v>330</v>
      </c>
      <c r="B18" s="787"/>
      <c r="C18" s="787"/>
      <c r="D18" s="787"/>
      <c r="E18" s="787"/>
      <c r="F18" s="787"/>
      <c r="G18" s="787"/>
      <c r="H18" s="787"/>
      <c r="I18" s="787"/>
      <c r="J18" s="787"/>
      <c r="K18" s="787"/>
      <c r="L18" s="787"/>
      <c r="M18" s="787"/>
      <c r="N18" s="787"/>
      <c r="O18" s="787"/>
      <c r="P18" s="787"/>
      <c r="Q18" s="787"/>
      <c r="R18" s="787"/>
      <c r="S18" s="787"/>
      <c r="T18" s="787"/>
    </row>
    <row r="19" spans="1:20" ht="23.45" customHeight="1">
      <c r="A19"/>
      <c r="B19"/>
      <c r="C19"/>
      <c r="D19"/>
      <c r="E19"/>
      <c r="F19"/>
      <c r="G19"/>
      <c r="H19"/>
      <c r="I19"/>
      <c r="J19"/>
      <c r="K19"/>
      <c r="L19"/>
      <c r="M19"/>
      <c r="N19"/>
      <c r="O19"/>
      <c r="P19"/>
      <c r="Q19"/>
      <c r="R19"/>
      <c r="S19" s="140"/>
      <c r="T19" s="140"/>
    </row>
    <row r="20" spans="1:20" s="13" customFormat="1" ht="27" customHeight="1">
      <c r="A20" s="751"/>
      <c r="B20" s="751"/>
      <c r="C20" s="751"/>
      <c r="D20" s="751"/>
      <c r="E20" s="751"/>
      <c r="F20" s="751"/>
      <c r="G20" s="751"/>
      <c r="H20" s="751"/>
      <c r="I20" s="751"/>
      <c r="J20" s="751"/>
      <c r="K20" s="751"/>
      <c r="L20" s="751"/>
      <c r="M20" s="751"/>
      <c r="N20" s="751"/>
      <c r="O20" s="751"/>
      <c r="P20" s="751"/>
      <c r="Q20" s="751"/>
      <c r="R20" s="751"/>
      <c r="S20" s="751"/>
    </row>
  </sheetData>
  <mergeCells count="44">
    <mergeCell ref="A1:P1"/>
    <mergeCell ref="Q1:R1"/>
    <mergeCell ref="S1:T1"/>
    <mergeCell ref="I2:P2"/>
    <mergeCell ref="A3:A4"/>
    <mergeCell ref="B3:B4"/>
    <mergeCell ref="C3:C4"/>
    <mergeCell ref="H3:H4"/>
    <mergeCell ref="Q3:Q4"/>
    <mergeCell ref="R3:R4"/>
    <mergeCell ref="S3:S4"/>
    <mergeCell ref="T3:T4"/>
    <mergeCell ref="A5:A6"/>
    <mergeCell ref="B5:B6"/>
    <mergeCell ref="C5:C6"/>
    <mergeCell ref="H5:H6"/>
    <mergeCell ref="Q5:Q6"/>
    <mergeCell ref="R5:R6"/>
    <mergeCell ref="S5:S6"/>
    <mergeCell ref="T5:T6"/>
    <mergeCell ref="S7:S8"/>
    <mergeCell ref="T7:T8"/>
    <mergeCell ref="R9:R10"/>
    <mergeCell ref="S9:S10"/>
    <mergeCell ref="T9:T10"/>
    <mergeCell ref="A7:A8"/>
    <mergeCell ref="B7:B8"/>
    <mergeCell ref="C7:C8"/>
    <mergeCell ref="H7:H8"/>
    <mergeCell ref="Q7:Q8"/>
    <mergeCell ref="R7:R8"/>
    <mergeCell ref="A9:A10"/>
    <mergeCell ref="B9:B10"/>
    <mergeCell ref="C9:C10"/>
    <mergeCell ref="H9:H10"/>
    <mergeCell ref="Q9:Q10"/>
    <mergeCell ref="A18:T18"/>
    <mergeCell ref="A20:S20"/>
    <mergeCell ref="A11:P11"/>
    <mergeCell ref="A12:P12"/>
    <mergeCell ref="A13:P13"/>
    <mergeCell ref="A14:T14"/>
    <mergeCell ref="A15:T15"/>
    <mergeCell ref="A17:T17"/>
  </mergeCells>
  <printOptions horizontalCentered="1" verticalCentered="1"/>
  <pageMargins left="0.25" right="0.25" top="0.75" bottom="0.75" header="0.30000000000000004" footer="0.30000000000000004"/>
  <pageSetup paperSize="0"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CC9FB-5CB6-4528-9140-D8FF0B8DD259}">
  <sheetPr>
    <tabColor rgb="FF0070C0"/>
  </sheetPr>
  <dimension ref="A1:H31"/>
  <sheetViews>
    <sheetView view="pageBreakPreview" zoomScale="130" zoomScaleNormal="100" zoomScaleSheetLayoutView="130" workbookViewId="0">
      <selection activeCell="A27" sqref="A27:F27"/>
    </sheetView>
  </sheetViews>
  <sheetFormatPr defaultColWidth="11.5703125" defaultRowHeight="12.75"/>
  <cols>
    <col min="1" max="1" width="22.85546875" style="177" customWidth="1"/>
    <col min="2" max="2" width="26.140625" style="177" customWidth="1"/>
    <col min="3" max="3" width="20" style="177" customWidth="1"/>
    <col min="4" max="4" width="16.7109375" style="177" customWidth="1"/>
    <col min="5" max="5" width="11.5703125" style="177"/>
    <col min="6" max="6" width="23.5703125" style="177" customWidth="1"/>
    <col min="7" max="254" width="11.5703125" style="177"/>
    <col min="255" max="255" width="22.85546875" style="177" customWidth="1"/>
    <col min="256" max="256" width="26.140625" style="177" customWidth="1"/>
    <col min="257" max="257" width="20" style="177" customWidth="1"/>
    <col min="258" max="258" width="16.7109375" style="177" customWidth="1"/>
    <col min="259" max="259" width="11.5703125" style="177"/>
    <col min="260" max="260" width="18" style="177" customWidth="1"/>
    <col min="261" max="261" width="11.5703125" style="177"/>
    <col min="262" max="262" width="25.7109375" style="177" customWidth="1"/>
    <col min="263" max="510" width="11.5703125" style="177"/>
    <col min="511" max="511" width="22.85546875" style="177" customWidth="1"/>
    <col min="512" max="512" width="26.140625" style="177" customWidth="1"/>
    <col min="513" max="513" width="20" style="177" customWidth="1"/>
    <col min="514" max="514" width="16.7109375" style="177" customWidth="1"/>
    <col min="515" max="515" width="11.5703125" style="177"/>
    <col min="516" max="516" width="18" style="177" customWidth="1"/>
    <col min="517" max="517" width="11.5703125" style="177"/>
    <col min="518" max="518" width="25.7109375" style="177" customWidth="1"/>
    <col min="519" max="766" width="11.5703125" style="177"/>
    <col min="767" max="767" width="22.85546875" style="177" customWidth="1"/>
    <col min="768" max="768" width="26.140625" style="177" customWidth="1"/>
    <col min="769" max="769" width="20" style="177" customWidth="1"/>
    <col min="770" max="770" width="16.7109375" style="177" customWidth="1"/>
    <col min="771" max="771" width="11.5703125" style="177"/>
    <col min="772" max="772" width="18" style="177" customWidth="1"/>
    <col min="773" max="773" width="11.5703125" style="177"/>
    <col min="774" max="774" width="25.7109375" style="177" customWidth="1"/>
    <col min="775" max="1022" width="11.5703125" style="177"/>
    <col min="1023" max="1023" width="22.85546875" style="177" customWidth="1"/>
    <col min="1024" max="1024" width="26.140625" style="177" customWidth="1"/>
    <col min="1025" max="1025" width="20" style="177" customWidth="1"/>
    <col min="1026" max="1026" width="16.7109375" style="177" customWidth="1"/>
    <col min="1027" max="1027" width="11.5703125" style="177"/>
    <col min="1028" max="1028" width="18" style="177" customWidth="1"/>
    <col min="1029" max="1029" width="11.5703125" style="177"/>
    <col min="1030" max="1030" width="25.7109375" style="177" customWidth="1"/>
    <col min="1031" max="1278" width="11.5703125" style="177"/>
    <col min="1279" max="1279" width="22.85546875" style="177" customWidth="1"/>
    <col min="1280" max="1280" width="26.140625" style="177" customWidth="1"/>
    <col min="1281" max="1281" width="20" style="177" customWidth="1"/>
    <col min="1282" max="1282" width="16.7109375" style="177" customWidth="1"/>
    <col min="1283" max="1283" width="11.5703125" style="177"/>
    <col min="1284" max="1284" width="18" style="177" customWidth="1"/>
    <col min="1285" max="1285" width="11.5703125" style="177"/>
    <col min="1286" max="1286" width="25.7109375" style="177" customWidth="1"/>
    <col min="1287" max="1534" width="11.5703125" style="177"/>
    <col min="1535" max="1535" width="22.85546875" style="177" customWidth="1"/>
    <col min="1536" max="1536" width="26.140625" style="177" customWidth="1"/>
    <col min="1537" max="1537" width="20" style="177" customWidth="1"/>
    <col min="1538" max="1538" width="16.7109375" style="177" customWidth="1"/>
    <col min="1539" max="1539" width="11.5703125" style="177"/>
    <col min="1540" max="1540" width="18" style="177" customWidth="1"/>
    <col min="1541" max="1541" width="11.5703125" style="177"/>
    <col min="1542" max="1542" width="25.7109375" style="177" customWidth="1"/>
    <col min="1543" max="1790" width="11.5703125" style="177"/>
    <col min="1791" max="1791" width="22.85546875" style="177" customWidth="1"/>
    <col min="1792" max="1792" width="26.140625" style="177" customWidth="1"/>
    <col min="1793" max="1793" width="20" style="177" customWidth="1"/>
    <col min="1794" max="1794" width="16.7109375" style="177" customWidth="1"/>
    <col min="1795" max="1795" width="11.5703125" style="177"/>
    <col min="1796" max="1796" width="18" style="177" customWidth="1"/>
    <col min="1797" max="1797" width="11.5703125" style="177"/>
    <col min="1798" max="1798" width="25.7109375" style="177" customWidth="1"/>
    <col min="1799" max="2046" width="11.5703125" style="177"/>
    <col min="2047" max="2047" width="22.85546875" style="177" customWidth="1"/>
    <col min="2048" max="2048" width="26.140625" style="177" customWidth="1"/>
    <col min="2049" max="2049" width="20" style="177" customWidth="1"/>
    <col min="2050" max="2050" width="16.7109375" style="177" customWidth="1"/>
    <col min="2051" max="2051" width="11.5703125" style="177"/>
    <col min="2052" max="2052" width="18" style="177" customWidth="1"/>
    <col min="2053" max="2053" width="11.5703125" style="177"/>
    <col min="2054" max="2054" width="25.7109375" style="177" customWidth="1"/>
    <col min="2055" max="2302" width="11.5703125" style="177"/>
    <col min="2303" max="2303" width="22.85546875" style="177" customWidth="1"/>
    <col min="2304" max="2304" width="26.140625" style="177" customWidth="1"/>
    <col min="2305" max="2305" width="20" style="177" customWidth="1"/>
    <col min="2306" max="2306" width="16.7109375" style="177" customWidth="1"/>
    <col min="2307" max="2307" width="11.5703125" style="177"/>
    <col min="2308" max="2308" width="18" style="177" customWidth="1"/>
    <col min="2309" max="2309" width="11.5703125" style="177"/>
    <col min="2310" max="2310" width="25.7109375" style="177" customWidth="1"/>
    <col min="2311" max="2558" width="11.5703125" style="177"/>
    <col min="2559" max="2559" width="22.85546875" style="177" customWidth="1"/>
    <col min="2560" max="2560" width="26.140625" style="177" customWidth="1"/>
    <col min="2561" max="2561" width="20" style="177" customWidth="1"/>
    <col min="2562" max="2562" width="16.7109375" style="177" customWidth="1"/>
    <col min="2563" max="2563" width="11.5703125" style="177"/>
    <col min="2564" max="2564" width="18" style="177" customWidth="1"/>
    <col min="2565" max="2565" width="11.5703125" style="177"/>
    <col min="2566" max="2566" width="25.7109375" style="177" customWidth="1"/>
    <col min="2567" max="2814" width="11.5703125" style="177"/>
    <col min="2815" max="2815" width="22.85546875" style="177" customWidth="1"/>
    <col min="2816" max="2816" width="26.140625" style="177" customWidth="1"/>
    <col min="2817" max="2817" width="20" style="177" customWidth="1"/>
    <col min="2818" max="2818" width="16.7109375" style="177" customWidth="1"/>
    <col min="2819" max="2819" width="11.5703125" style="177"/>
    <col min="2820" max="2820" width="18" style="177" customWidth="1"/>
    <col min="2821" max="2821" width="11.5703125" style="177"/>
    <col min="2822" max="2822" width="25.7109375" style="177" customWidth="1"/>
    <col min="2823" max="3070" width="11.5703125" style="177"/>
    <col min="3071" max="3071" width="22.85546875" style="177" customWidth="1"/>
    <col min="3072" max="3072" width="26.140625" style="177" customWidth="1"/>
    <col min="3073" max="3073" width="20" style="177" customWidth="1"/>
    <col min="3074" max="3074" width="16.7109375" style="177" customWidth="1"/>
    <col min="3075" max="3075" width="11.5703125" style="177"/>
    <col min="3076" max="3076" width="18" style="177" customWidth="1"/>
    <col min="3077" max="3077" width="11.5703125" style="177"/>
    <col min="3078" max="3078" width="25.7109375" style="177" customWidth="1"/>
    <col min="3079" max="3326" width="11.5703125" style="177"/>
    <col min="3327" max="3327" width="22.85546875" style="177" customWidth="1"/>
    <col min="3328" max="3328" width="26.140625" style="177" customWidth="1"/>
    <col min="3329" max="3329" width="20" style="177" customWidth="1"/>
    <col min="3330" max="3330" width="16.7109375" style="177" customWidth="1"/>
    <col min="3331" max="3331" width="11.5703125" style="177"/>
    <col min="3332" max="3332" width="18" style="177" customWidth="1"/>
    <col min="3333" max="3333" width="11.5703125" style="177"/>
    <col min="3334" max="3334" width="25.7109375" style="177" customWidth="1"/>
    <col min="3335" max="3582" width="11.5703125" style="177"/>
    <col min="3583" max="3583" width="22.85546875" style="177" customWidth="1"/>
    <col min="3584" max="3584" width="26.140625" style="177" customWidth="1"/>
    <col min="3585" max="3585" width="20" style="177" customWidth="1"/>
    <col min="3586" max="3586" width="16.7109375" style="177" customWidth="1"/>
    <col min="3587" max="3587" width="11.5703125" style="177"/>
    <col min="3588" max="3588" width="18" style="177" customWidth="1"/>
    <col min="3589" max="3589" width="11.5703125" style="177"/>
    <col min="3590" max="3590" width="25.7109375" style="177" customWidth="1"/>
    <col min="3591" max="3838" width="11.5703125" style="177"/>
    <col min="3839" max="3839" width="22.85546875" style="177" customWidth="1"/>
    <col min="3840" max="3840" width="26.140625" style="177" customWidth="1"/>
    <col min="3841" max="3841" width="20" style="177" customWidth="1"/>
    <col min="3842" max="3842" width="16.7109375" style="177" customWidth="1"/>
    <col min="3843" max="3843" width="11.5703125" style="177"/>
    <col min="3844" max="3844" width="18" style="177" customWidth="1"/>
    <col min="3845" max="3845" width="11.5703125" style="177"/>
    <col min="3846" max="3846" width="25.7109375" style="177" customWidth="1"/>
    <col min="3847" max="4094" width="11.5703125" style="177"/>
    <col min="4095" max="4095" width="22.85546875" style="177" customWidth="1"/>
    <col min="4096" max="4096" width="26.140625" style="177" customWidth="1"/>
    <col min="4097" max="4097" width="20" style="177" customWidth="1"/>
    <col min="4098" max="4098" width="16.7109375" style="177" customWidth="1"/>
    <col min="4099" max="4099" width="11.5703125" style="177"/>
    <col min="4100" max="4100" width="18" style="177" customWidth="1"/>
    <col min="4101" max="4101" width="11.5703125" style="177"/>
    <col min="4102" max="4102" width="25.7109375" style="177" customWidth="1"/>
    <col min="4103" max="4350" width="11.5703125" style="177"/>
    <col min="4351" max="4351" width="22.85546875" style="177" customWidth="1"/>
    <col min="4352" max="4352" width="26.140625" style="177" customWidth="1"/>
    <col min="4353" max="4353" width="20" style="177" customWidth="1"/>
    <col min="4354" max="4354" width="16.7109375" style="177" customWidth="1"/>
    <col min="4355" max="4355" width="11.5703125" style="177"/>
    <col min="4356" max="4356" width="18" style="177" customWidth="1"/>
    <col min="4357" max="4357" width="11.5703125" style="177"/>
    <col min="4358" max="4358" width="25.7109375" style="177" customWidth="1"/>
    <col min="4359" max="4606" width="11.5703125" style="177"/>
    <col min="4607" max="4607" width="22.85546875" style="177" customWidth="1"/>
    <col min="4608" max="4608" width="26.140625" style="177" customWidth="1"/>
    <col min="4609" max="4609" width="20" style="177" customWidth="1"/>
    <col min="4610" max="4610" width="16.7109375" style="177" customWidth="1"/>
    <col min="4611" max="4611" width="11.5703125" style="177"/>
    <col min="4612" max="4612" width="18" style="177" customWidth="1"/>
    <col min="4613" max="4613" width="11.5703125" style="177"/>
    <col min="4614" max="4614" width="25.7109375" style="177" customWidth="1"/>
    <col min="4615" max="4862" width="11.5703125" style="177"/>
    <col min="4863" max="4863" width="22.85546875" style="177" customWidth="1"/>
    <col min="4864" max="4864" width="26.140625" style="177" customWidth="1"/>
    <col min="4865" max="4865" width="20" style="177" customWidth="1"/>
    <col min="4866" max="4866" width="16.7109375" style="177" customWidth="1"/>
    <col min="4867" max="4867" width="11.5703125" style="177"/>
    <col min="4868" max="4868" width="18" style="177" customWidth="1"/>
    <col min="4869" max="4869" width="11.5703125" style="177"/>
    <col min="4870" max="4870" width="25.7109375" style="177" customWidth="1"/>
    <col min="4871" max="5118" width="11.5703125" style="177"/>
    <col min="5119" max="5119" width="22.85546875" style="177" customWidth="1"/>
    <col min="5120" max="5120" width="26.140625" style="177" customWidth="1"/>
    <col min="5121" max="5121" width="20" style="177" customWidth="1"/>
    <col min="5122" max="5122" width="16.7109375" style="177" customWidth="1"/>
    <col min="5123" max="5123" width="11.5703125" style="177"/>
    <col min="5124" max="5124" width="18" style="177" customWidth="1"/>
    <col min="5125" max="5125" width="11.5703125" style="177"/>
    <col min="5126" max="5126" width="25.7109375" style="177" customWidth="1"/>
    <col min="5127" max="5374" width="11.5703125" style="177"/>
    <col min="5375" max="5375" width="22.85546875" style="177" customWidth="1"/>
    <col min="5376" max="5376" width="26.140625" style="177" customWidth="1"/>
    <col min="5377" max="5377" width="20" style="177" customWidth="1"/>
    <col min="5378" max="5378" width="16.7109375" style="177" customWidth="1"/>
    <col min="5379" max="5379" width="11.5703125" style="177"/>
    <col min="5380" max="5380" width="18" style="177" customWidth="1"/>
    <col min="5381" max="5381" width="11.5703125" style="177"/>
    <col min="5382" max="5382" width="25.7109375" style="177" customWidth="1"/>
    <col min="5383" max="5630" width="11.5703125" style="177"/>
    <col min="5631" max="5631" width="22.85546875" style="177" customWidth="1"/>
    <col min="5632" max="5632" width="26.140625" style="177" customWidth="1"/>
    <col min="5633" max="5633" width="20" style="177" customWidth="1"/>
    <col min="5634" max="5634" width="16.7109375" style="177" customWidth="1"/>
    <col min="5635" max="5635" width="11.5703125" style="177"/>
    <col min="5636" max="5636" width="18" style="177" customWidth="1"/>
    <col min="5637" max="5637" width="11.5703125" style="177"/>
    <col min="5638" max="5638" width="25.7109375" style="177" customWidth="1"/>
    <col min="5639" max="5886" width="11.5703125" style="177"/>
    <col min="5887" max="5887" width="22.85546875" style="177" customWidth="1"/>
    <col min="5888" max="5888" width="26.140625" style="177" customWidth="1"/>
    <col min="5889" max="5889" width="20" style="177" customWidth="1"/>
    <col min="5890" max="5890" width="16.7109375" style="177" customWidth="1"/>
    <col min="5891" max="5891" width="11.5703125" style="177"/>
    <col min="5892" max="5892" width="18" style="177" customWidth="1"/>
    <col min="5893" max="5893" width="11.5703125" style="177"/>
    <col min="5894" max="5894" width="25.7109375" style="177" customWidth="1"/>
    <col min="5895" max="6142" width="11.5703125" style="177"/>
    <col min="6143" max="6143" width="22.85546875" style="177" customWidth="1"/>
    <col min="6144" max="6144" width="26.140625" style="177" customWidth="1"/>
    <col min="6145" max="6145" width="20" style="177" customWidth="1"/>
    <col min="6146" max="6146" width="16.7109375" style="177" customWidth="1"/>
    <col min="6147" max="6147" width="11.5703125" style="177"/>
    <col min="6148" max="6148" width="18" style="177" customWidth="1"/>
    <col min="6149" max="6149" width="11.5703125" style="177"/>
    <col min="6150" max="6150" width="25.7109375" style="177" customWidth="1"/>
    <col min="6151" max="6398" width="11.5703125" style="177"/>
    <col min="6399" max="6399" width="22.85546875" style="177" customWidth="1"/>
    <col min="6400" max="6400" width="26.140625" style="177" customWidth="1"/>
    <col min="6401" max="6401" width="20" style="177" customWidth="1"/>
    <col min="6402" max="6402" width="16.7109375" style="177" customWidth="1"/>
    <col min="6403" max="6403" width="11.5703125" style="177"/>
    <col min="6404" max="6404" width="18" style="177" customWidth="1"/>
    <col min="6405" max="6405" width="11.5703125" style="177"/>
    <col min="6406" max="6406" width="25.7109375" style="177" customWidth="1"/>
    <col min="6407" max="6654" width="11.5703125" style="177"/>
    <col min="6655" max="6655" width="22.85546875" style="177" customWidth="1"/>
    <col min="6656" max="6656" width="26.140625" style="177" customWidth="1"/>
    <col min="6657" max="6657" width="20" style="177" customWidth="1"/>
    <col min="6658" max="6658" width="16.7109375" style="177" customWidth="1"/>
    <col min="6659" max="6659" width="11.5703125" style="177"/>
    <col min="6660" max="6660" width="18" style="177" customWidth="1"/>
    <col min="6661" max="6661" width="11.5703125" style="177"/>
    <col min="6662" max="6662" width="25.7109375" style="177" customWidth="1"/>
    <col min="6663" max="6910" width="11.5703125" style="177"/>
    <col min="6911" max="6911" width="22.85546875" style="177" customWidth="1"/>
    <col min="6912" max="6912" width="26.140625" style="177" customWidth="1"/>
    <col min="6913" max="6913" width="20" style="177" customWidth="1"/>
    <col min="6914" max="6914" width="16.7109375" style="177" customWidth="1"/>
    <col min="6915" max="6915" width="11.5703125" style="177"/>
    <col min="6916" max="6916" width="18" style="177" customWidth="1"/>
    <col min="6917" max="6917" width="11.5703125" style="177"/>
    <col min="6918" max="6918" width="25.7109375" style="177" customWidth="1"/>
    <col min="6919" max="7166" width="11.5703125" style="177"/>
    <col min="7167" max="7167" width="22.85546875" style="177" customWidth="1"/>
    <col min="7168" max="7168" width="26.140625" style="177" customWidth="1"/>
    <col min="7169" max="7169" width="20" style="177" customWidth="1"/>
    <col min="7170" max="7170" width="16.7109375" style="177" customWidth="1"/>
    <col min="7171" max="7171" width="11.5703125" style="177"/>
    <col min="7172" max="7172" width="18" style="177" customWidth="1"/>
    <col min="7173" max="7173" width="11.5703125" style="177"/>
    <col min="7174" max="7174" width="25.7109375" style="177" customWidth="1"/>
    <col min="7175" max="7422" width="11.5703125" style="177"/>
    <col min="7423" max="7423" width="22.85546875" style="177" customWidth="1"/>
    <col min="7424" max="7424" width="26.140625" style="177" customWidth="1"/>
    <col min="7425" max="7425" width="20" style="177" customWidth="1"/>
    <col min="7426" max="7426" width="16.7109375" style="177" customWidth="1"/>
    <col min="7427" max="7427" width="11.5703125" style="177"/>
    <col min="7428" max="7428" width="18" style="177" customWidth="1"/>
    <col min="7429" max="7429" width="11.5703125" style="177"/>
    <col min="7430" max="7430" width="25.7109375" style="177" customWidth="1"/>
    <col min="7431" max="7678" width="11.5703125" style="177"/>
    <col min="7679" max="7679" width="22.85546875" style="177" customWidth="1"/>
    <col min="7680" max="7680" width="26.140625" style="177" customWidth="1"/>
    <col min="7681" max="7681" width="20" style="177" customWidth="1"/>
    <col min="7682" max="7682" width="16.7109375" style="177" customWidth="1"/>
    <col min="7683" max="7683" width="11.5703125" style="177"/>
    <col min="7684" max="7684" width="18" style="177" customWidth="1"/>
    <col min="7685" max="7685" width="11.5703125" style="177"/>
    <col min="7686" max="7686" width="25.7109375" style="177" customWidth="1"/>
    <col min="7687" max="7934" width="11.5703125" style="177"/>
    <col min="7935" max="7935" width="22.85546875" style="177" customWidth="1"/>
    <col min="7936" max="7936" width="26.140625" style="177" customWidth="1"/>
    <col min="7937" max="7937" width="20" style="177" customWidth="1"/>
    <col min="7938" max="7938" width="16.7109375" style="177" customWidth="1"/>
    <col min="7939" max="7939" width="11.5703125" style="177"/>
    <col min="7940" max="7940" width="18" style="177" customWidth="1"/>
    <col min="7941" max="7941" width="11.5703125" style="177"/>
    <col min="7942" max="7942" width="25.7109375" style="177" customWidth="1"/>
    <col min="7943" max="8190" width="11.5703125" style="177"/>
    <col min="8191" max="8191" width="22.85546875" style="177" customWidth="1"/>
    <col min="8192" max="8192" width="26.140625" style="177" customWidth="1"/>
    <col min="8193" max="8193" width="20" style="177" customWidth="1"/>
    <col min="8194" max="8194" width="16.7109375" style="177" customWidth="1"/>
    <col min="8195" max="8195" width="11.5703125" style="177"/>
    <col min="8196" max="8196" width="18" style="177" customWidth="1"/>
    <col min="8197" max="8197" width="11.5703125" style="177"/>
    <col min="8198" max="8198" width="25.7109375" style="177" customWidth="1"/>
    <col min="8199" max="8446" width="11.5703125" style="177"/>
    <col min="8447" max="8447" width="22.85546875" style="177" customWidth="1"/>
    <col min="8448" max="8448" width="26.140625" style="177" customWidth="1"/>
    <col min="8449" max="8449" width="20" style="177" customWidth="1"/>
    <col min="8450" max="8450" width="16.7109375" style="177" customWidth="1"/>
    <col min="8451" max="8451" width="11.5703125" style="177"/>
    <col min="8452" max="8452" width="18" style="177" customWidth="1"/>
    <col min="8453" max="8453" width="11.5703125" style="177"/>
    <col min="8454" max="8454" width="25.7109375" style="177" customWidth="1"/>
    <col min="8455" max="8702" width="11.5703125" style="177"/>
    <col min="8703" max="8703" width="22.85546875" style="177" customWidth="1"/>
    <col min="8704" max="8704" width="26.140625" style="177" customWidth="1"/>
    <col min="8705" max="8705" width="20" style="177" customWidth="1"/>
    <col min="8706" max="8706" width="16.7109375" style="177" customWidth="1"/>
    <col min="8707" max="8707" width="11.5703125" style="177"/>
    <col min="8708" max="8708" width="18" style="177" customWidth="1"/>
    <col min="8709" max="8709" width="11.5703125" style="177"/>
    <col min="8710" max="8710" width="25.7109375" style="177" customWidth="1"/>
    <col min="8711" max="8958" width="11.5703125" style="177"/>
    <col min="8959" max="8959" width="22.85546875" style="177" customWidth="1"/>
    <col min="8960" max="8960" width="26.140625" style="177" customWidth="1"/>
    <col min="8961" max="8961" width="20" style="177" customWidth="1"/>
    <col min="8962" max="8962" width="16.7109375" style="177" customWidth="1"/>
    <col min="8963" max="8963" width="11.5703125" style="177"/>
    <col min="8964" max="8964" width="18" style="177" customWidth="1"/>
    <col min="8965" max="8965" width="11.5703125" style="177"/>
    <col min="8966" max="8966" width="25.7109375" style="177" customWidth="1"/>
    <col min="8967" max="9214" width="11.5703125" style="177"/>
    <col min="9215" max="9215" width="22.85546875" style="177" customWidth="1"/>
    <col min="9216" max="9216" width="26.140625" style="177" customWidth="1"/>
    <col min="9217" max="9217" width="20" style="177" customWidth="1"/>
    <col min="9218" max="9218" width="16.7109375" style="177" customWidth="1"/>
    <col min="9219" max="9219" width="11.5703125" style="177"/>
    <col min="9220" max="9220" width="18" style="177" customWidth="1"/>
    <col min="9221" max="9221" width="11.5703125" style="177"/>
    <col min="9222" max="9222" width="25.7109375" style="177" customWidth="1"/>
    <col min="9223" max="9470" width="11.5703125" style="177"/>
    <col min="9471" max="9471" width="22.85546875" style="177" customWidth="1"/>
    <col min="9472" max="9472" width="26.140625" style="177" customWidth="1"/>
    <col min="9473" max="9473" width="20" style="177" customWidth="1"/>
    <col min="9474" max="9474" width="16.7109375" style="177" customWidth="1"/>
    <col min="9475" max="9475" width="11.5703125" style="177"/>
    <col min="9476" max="9476" width="18" style="177" customWidth="1"/>
    <col min="9477" max="9477" width="11.5703125" style="177"/>
    <col min="9478" max="9478" width="25.7109375" style="177" customWidth="1"/>
    <col min="9479" max="9726" width="11.5703125" style="177"/>
    <col min="9727" max="9727" width="22.85546875" style="177" customWidth="1"/>
    <col min="9728" max="9728" width="26.140625" style="177" customWidth="1"/>
    <col min="9729" max="9729" width="20" style="177" customWidth="1"/>
    <col min="9730" max="9730" width="16.7109375" style="177" customWidth="1"/>
    <col min="9731" max="9731" width="11.5703125" style="177"/>
    <col min="9732" max="9732" width="18" style="177" customWidth="1"/>
    <col min="9733" max="9733" width="11.5703125" style="177"/>
    <col min="9734" max="9734" width="25.7109375" style="177" customWidth="1"/>
    <col min="9735" max="9982" width="11.5703125" style="177"/>
    <col min="9983" max="9983" width="22.85546875" style="177" customWidth="1"/>
    <col min="9984" max="9984" width="26.140625" style="177" customWidth="1"/>
    <col min="9985" max="9985" width="20" style="177" customWidth="1"/>
    <col min="9986" max="9986" width="16.7109375" style="177" customWidth="1"/>
    <col min="9987" max="9987" width="11.5703125" style="177"/>
    <col min="9988" max="9988" width="18" style="177" customWidth="1"/>
    <col min="9989" max="9989" width="11.5703125" style="177"/>
    <col min="9990" max="9990" width="25.7109375" style="177" customWidth="1"/>
    <col min="9991" max="10238" width="11.5703125" style="177"/>
    <col min="10239" max="10239" width="22.85546875" style="177" customWidth="1"/>
    <col min="10240" max="10240" width="26.140625" style="177" customWidth="1"/>
    <col min="10241" max="10241" width="20" style="177" customWidth="1"/>
    <col min="10242" max="10242" width="16.7109375" style="177" customWidth="1"/>
    <col min="10243" max="10243" width="11.5703125" style="177"/>
    <col min="10244" max="10244" width="18" style="177" customWidth="1"/>
    <col min="10245" max="10245" width="11.5703125" style="177"/>
    <col min="10246" max="10246" width="25.7109375" style="177" customWidth="1"/>
    <col min="10247" max="10494" width="11.5703125" style="177"/>
    <col min="10495" max="10495" width="22.85546875" style="177" customWidth="1"/>
    <col min="10496" max="10496" width="26.140625" style="177" customWidth="1"/>
    <col min="10497" max="10497" width="20" style="177" customWidth="1"/>
    <col min="10498" max="10498" width="16.7109375" style="177" customWidth="1"/>
    <col min="10499" max="10499" width="11.5703125" style="177"/>
    <col min="10500" max="10500" width="18" style="177" customWidth="1"/>
    <col min="10501" max="10501" width="11.5703125" style="177"/>
    <col min="10502" max="10502" width="25.7109375" style="177" customWidth="1"/>
    <col min="10503" max="10750" width="11.5703125" style="177"/>
    <col min="10751" max="10751" width="22.85546875" style="177" customWidth="1"/>
    <col min="10752" max="10752" width="26.140625" style="177" customWidth="1"/>
    <col min="10753" max="10753" width="20" style="177" customWidth="1"/>
    <col min="10754" max="10754" width="16.7109375" style="177" customWidth="1"/>
    <col min="10755" max="10755" width="11.5703125" style="177"/>
    <col min="10756" max="10756" width="18" style="177" customWidth="1"/>
    <col min="10757" max="10757" width="11.5703125" style="177"/>
    <col min="10758" max="10758" width="25.7109375" style="177" customWidth="1"/>
    <col min="10759" max="11006" width="11.5703125" style="177"/>
    <col min="11007" max="11007" width="22.85546875" style="177" customWidth="1"/>
    <col min="11008" max="11008" width="26.140625" style="177" customWidth="1"/>
    <col min="11009" max="11009" width="20" style="177" customWidth="1"/>
    <col min="11010" max="11010" width="16.7109375" style="177" customWidth="1"/>
    <col min="11011" max="11011" width="11.5703125" style="177"/>
    <col min="11012" max="11012" width="18" style="177" customWidth="1"/>
    <col min="11013" max="11013" width="11.5703125" style="177"/>
    <col min="11014" max="11014" width="25.7109375" style="177" customWidth="1"/>
    <col min="11015" max="11262" width="11.5703125" style="177"/>
    <col min="11263" max="11263" width="22.85546875" style="177" customWidth="1"/>
    <col min="11264" max="11264" width="26.140625" style="177" customWidth="1"/>
    <col min="11265" max="11265" width="20" style="177" customWidth="1"/>
    <col min="11266" max="11266" width="16.7109375" style="177" customWidth="1"/>
    <col min="11267" max="11267" width="11.5703125" style="177"/>
    <col min="11268" max="11268" width="18" style="177" customWidth="1"/>
    <col min="11269" max="11269" width="11.5703125" style="177"/>
    <col min="11270" max="11270" width="25.7109375" style="177" customWidth="1"/>
    <col min="11271" max="11518" width="11.5703125" style="177"/>
    <col min="11519" max="11519" width="22.85546875" style="177" customWidth="1"/>
    <col min="11520" max="11520" width="26.140625" style="177" customWidth="1"/>
    <col min="11521" max="11521" width="20" style="177" customWidth="1"/>
    <col min="11522" max="11522" width="16.7109375" style="177" customWidth="1"/>
    <col min="11523" max="11523" width="11.5703125" style="177"/>
    <col min="11524" max="11524" width="18" style="177" customWidth="1"/>
    <col min="11525" max="11525" width="11.5703125" style="177"/>
    <col min="11526" max="11526" width="25.7109375" style="177" customWidth="1"/>
    <col min="11527" max="11774" width="11.5703125" style="177"/>
    <col min="11775" max="11775" width="22.85546875" style="177" customWidth="1"/>
    <col min="11776" max="11776" width="26.140625" style="177" customWidth="1"/>
    <col min="11777" max="11777" width="20" style="177" customWidth="1"/>
    <col min="11778" max="11778" width="16.7109375" style="177" customWidth="1"/>
    <col min="11779" max="11779" width="11.5703125" style="177"/>
    <col min="11780" max="11780" width="18" style="177" customWidth="1"/>
    <col min="11781" max="11781" width="11.5703125" style="177"/>
    <col min="11782" max="11782" width="25.7109375" style="177" customWidth="1"/>
    <col min="11783" max="12030" width="11.5703125" style="177"/>
    <col min="12031" max="12031" width="22.85546875" style="177" customWidth="1"/>
    <col min="12032" max="12032" width="26.140625" style="177" customWidth="1"/>
    <col min="12033" max="12033" width="20" style="177" customWidth="1"/>
    <col min="12034" max="12034" width="16.7109375" style="177" customWidth="1"/>
    <col min="12035" max="12035" width="11.5703125" style="177"/>
    <col min="12036" max="12036" width="18" style="177" customWidth="1"/>
    <col min="12037" max="12037" width="11.5703125" style="177"/>
    <col min="12038" max="12038" width="25.7109375" style="177" customWidth="1"/>
    <col min="12039" max="12286" width="11.5703125" style="177"/>
    <col min="12287" max="12287" width="22.85546875" style="177" customWidth="1"/>
    <col min="12288" max="12288" width="26.140625" style="177" customWidth="1"/>
    <col min="12289" max="12289" width="20" style="177" customWidth="1"/>
    <col min="12290" max="12290" width="16.7109375" style="177" customWidth="1"/>
    <col min="12291" max="12291" width="11.5703125" style="177"/>
    <col min="12292" max="12292" width="18" style="177" customWidth="1"/>
    <col min="12293" max="12293" width="11.5703125" style="177"/>
    <col min="12294" max="12294" width="25.7109375" style="177" customWidth="1"/>
    <col min="12295" max="12542" width="11.5703125" style="177"/>
    <col min="12543" max="12543" width="22.85546875" style="177" customWidth="1"/>
    <col min="12544" max="12544" width="26.140625" style="177" customWidth="1"/>
    <col min="12545" max="12545" width="20" style="177" customWidth="1"/>
    <col min="12546" max="12546" width="16.7109375" style="177" customWidth="1"/>
    <col min="12547" max="12547" width="11.5703125" style="177"/>
    <col min="12548" max="12548" width="18" style="177" customWidth="1"/>
    <col min="12549" max="12549" width="11.5703125" style="177"/>
    <col min="12550" max="12550" width="25.7109375" style="177" customWidth="1"/>
    <col min="12551" max="12798" width="11.5703125" style="177"/>
    <col min="12799" max="12799" width="22.85546875" style="177" customWidth="1"/>
    <col min="12800" max="12800" width="26.140625" style="177" customWidth="1"/>
    <col min="12801" max="12801" width="20" style="177" customWidth="1"/>
    <col min="12802" max="12802" width="16.7109375" style="177" customWidth="1"/>
    <col min="12803" max="12803" width="11.5703125" style="177"/>
    <col min="12804" max="12804" width="18" style="177" customWidth="1"/>
    <col min="12805" max="12805" width="11.5703125" style="177"/>
    <col min="12806" max="12806" width="25.7109375" style="177" customWidth="1"/>
    <col min="12807" max="13054" width="11.5703125" style="177"/>
    <col min="13055" max="13055" width="22.85546875" style="177" customWidth="1"/>
    <col min="13056" max="13056" width="26.140625" style="177" customWidth="1"/>
    <col min="13057" max="13057" width="20" style="177" customWidth="1"/>
    <col min="13058" max="13058" width="16.7109375" style="177" customWidth="1"/>
    <col min="13059" max="13059" width="11.5703125" style="177"/>
    <col min="13060" max="13060" width="18" style="177" customWidth="1"/>
    <col min="13061" max="13061" width="11.5703125" style="177"/>
    <col min="13062" max="13062" width="25.7109375" style="177" customWidth="1"/>
    <col min="13063" max="13310" width="11.5703125" style="177"/>
    <col min="13311" max="13311" width="22.85546875" style="177" customWidth="1"/>
    <col min="13312" max="13312" width="26.140625" style="177" customWidth="1"/>
    <col min="13313" max="13313" width="20" style="177" customWidth="1"/>
    <col min="13314" max="13314" width="16.7109375" style="177" customWidth="1"/>
    <col min="13315" max="13315" width="11.5703125" style="177"/>
    <col min="13316" max="13316" width="18" style="177" customWidth="1"/>
    <col min="13317" max="13317" width="11.5703125" style="177"/>
    <col min="13318" max="13318" width="25.7109375" style="177" customWidth="1"/>
    <col min="13319" max="13566" width="11.5703125" style="177"/>
    <col min="13567" max="13567" width="22.85546875" style="177" customWidth="1"/>
    <col min="13568" max="13568" width="26.140625" style="177" customWidth="1"/>
    <col min="13569" max="13569" width="20" style="177" customWidth="1"/>
    <col min="13570" max="13570" width="16.7109375" style="177" customWidth="1"/>
    <col min="13571" max="13571" width="11.5703125" style="177"/>
    <col min="13572" max="13572" width="18" style="177" customWidth="1"/>
    <col min="13573" max="13573" width="11.5703125" style="177"/>
    <col min="13574" max="13574" width="25.7109375" style="177" customWidth="1"/>
    <col min="13575" max="13822" width="11.5703125" style="177"/>
    <col min="13823" max="13823" width="22.85546875" style="177" customWidth="1"/>
    <col min="13824" max="13824" width="26.140625" style="177" customWidth="1"/>
    <col min="13825" max="13825" width="20" style="177" customWidth="1"/>
    <col min="13826" max="13826" width="16.7109375" style="177" customWidth="1"/>
    <col min="13827" max="13827" width="11.5703125" style="177"/>
    <col min="13828" max="13828" width="18" style="177" customWidth="1"/>
    <col min="13829" max="13829" width="11.5703125" style="177"/>
    <col min="13830" max="13830" width="25.7109375" style="177" customWidth="1"/>
    <col min="13831" max="14078" width="11.5703125" style="177"/>
    <col min="14079" max="14079" width="22.85546875" style="177" customWidth="1"/>
    <col min="14080" max="14080" width="26.140625" style="177" customWidth="1"/>
    <col min="14081" max="14081" width="20" style="177" customWidth="1"/>
    <col min="14082" max="14082" width="16.7109375" style="177" customWidth="1"/>
    <col min="14083" max="14083" width="11.5703125" style="177"/>
    <col min="14084" max="14084" width="18" style="177" customWidth="1"/>
    <col min="14085" max="14085" width="11.5703125" style="177"/>
    <col min="14086" max="14086" width="25.7109375" style="177" customWidth="1"/>
    <col min="14087" max="14334" width="11.5703125" style="177"/>
    <col min="14335" max="14335" width="22.85546875" style="177" customWidth="1"/>
    <col min="14336" max="14336" width="26.140625" style="177" customWidth="1"/>
    <col min="14337" max="14337" width="20" style="177" customWidth="1"/>
    <col min="14338" max="14338" width="16.7109375" style="177" customWidth="1"/>
    <col min="14339" max="14339" width="11.5703125" style="177"/>
    <col min="14340" max="14340" width="18" style="177" customWidth="1"/>
    <col min="14341" max="14341" width="11.5703125" style="177"/>
    <col min="14342" max="14342" width="25.7109375" style="177" customWidth="1"/>
    <col min="14343" max="14590" width="11.5703125" style="177"/>
    <col min="14591" max="14591" width="22.85546875" style="177" customWidth="1"/>
    <col min="14592" max="14592" width="26.140625" style="177" customWidth="1"/>
    <col min="14593" max="14593" width="20" style="177" customWidth="1"/>
    <col min="14594" max="14594" width="16.7109375" style="177" customWidth="1"/>
    <col min="14595" max="14595" width="11.5703125" style="177"/>
    <col min="14596" max="14596" width="18" style="177" customWidth="1"/>
    <col min="14597" max="14597" width="11.5703125" style="177"/>
    <col min="14598" max="14598" width="25.7109375" style="177" customWidth="1"/>
    <col min="14599" max="14846" width="11.5703125" style="177"/>
    <col min="14847" max="14847" width="22.85546875" style="177" customWidth="1"/>
    <col min="14848" max="14848" width="26.140625" style="177" customWidth="1"/>
    <col min="14849" max="14849" width="20" style="177" customWidth="1"/>
    <col min="14850" max="14850" width="16.7109375" style="177" customWidth="1"/>
    <col min="14851" max="14851" width="11.5703125" style="177"/>
    <col min="14852" max="14852" width="18" style="177" customWidth="1"/>
    <col min="14853" max="14853" width="11.5703125" style="177"/>
    <col min="14854" max="14854" width="25.7109375" style="177" customWidth="1"/>
    <col min="14855" max="15102" width="11.5703125" style="177"/>
    <col min="15103" max="15103" width="22.85546875" style="177" customWidth="1"/>
    <col min="15104" max="15104" width="26.140625" style="177" customWidth="1"/>
    <col min="15105" max="15105" width="20" style="177" customWidth="1"/>
    <col min="15106" max="15106" width="16.7109375" style="177" customWidth="1"/>
    <col min="15107" max="15107" width="11.5703125" style="177"/>
    <col min="15108" max="15108" width="18" style="177" customWidth="1"/>
    <col min="15109" max="15109" width="11.5703125" style="177"/>
    <col min="15110" max="15110" width="25.7109375" style="177" customWidth="1"/>
    <col min="15111" max="15358" width="11.5703125" style="177"/>
    <col min="15359" max="15359" width="22.85546875" style="177" customWidth="1"/>
    <col min="15360" max="15360" width="26.140625" style="177" customWidth="1"/>
    <col min="15361" max="15361" width="20" style="177" customWidth="1"/>
    <col min="15362" max="15362" width="16.7109375" style="177" customWidth="1"/>
    <col min="15363" max="15363" width="11.5703125" style="177"/>
    <col min="15364" max="15364" width="18" style="177" customWidth="1"/>
    <col min="15365" max="15365" width="11.5703125" style="177"/>
    <col min="15366" max="15366" width="25.7109375" style="177" customWidth="1"/>
    <col min="15367" max="15614" width="11.5703125" style="177"/>
    <col min="15615" max="15615" width="22.85546875" style="177" customWidth="1"/>
    <col min="15616" max="15616" width="26.140625" style="177" customWidth="1"/>
    <col min="15617" max="15617" width="20" style="177" customWidth="1"/>
    <col min="15618" max="15618" width="16.7109375" style="177" customWidth="1"/>
    <col min="15619" max="15619" width="11.5703125" style="177"/>
    <col min="15620" max="15620" width="18" style="177" customWidth="1"/>
    <col min="15621" max="15621" width="11.5703125" style="177"/>
    <col min="15622" max="15622" width="25.7109375" style="177" customWidth="1"/>
    <col min="15623" max="15870" width="11.5703125" style="177"/>
    <col min="15871" max="15871" width="22.85546875" style="177" customWidth="1"/>
    <col min="15872" max="15872" width="26.140625" style="177" customWidth="1"/>
    <col min="15873" max="15873" width="20" style="177" customWidth="1"/>
    <col min="15874" max="15874" width="16.7109375" style="177" customWidth="1"/>
    <col min="15875" max="15875" width="11.5703125" style="177"/>
    <col min="15876" max="15876" width="18" style="177" customWidth="1"/>
    <col min="15877" max="15877" width="11.5703125" style="177"/>
    <col min="15878" max="15878" width="25.7109375" style="177" customWidth="1"/>
    <col min="15879" max="16126" width="11.5703125" style="177"/>
    <col min="16127" max="16127" width="22.85546875" style="177" customWidth="1"/>
    <col min="16128" max="16128" width="26.140625" style="177" customWidth="1"/>
    <col min="16129" max="16129" width="20" style="177" customWidth="1"/>
    <col min="16130" max="16130" width="16.7109375" style="177" customWidth="1"/>
    <col min="16131" max="16131" width="11.5703125" style="177"/>
    <col min="16132" max="16132" width="18" style="177" customWidth="1"/>
    <col min="16133" max="16133" width="11.5703125" style="177"/>
    <col min="16134" max="16134" width="25.7109375" style="177" customWidth="1"/>
    <col min="16135" max="16384" width="11.5703125" style="177"/>
  </cols>
  <sheetData>
    <row r="1" spans="1:6" ht="29.25" customHeight="1">
      <c r="A1" s="506" t="s">
        <v>12</v>
      </c>
      <c r="B1" s="506"/>
      <c r="C1" s="506"/>
      <c r="D1" s="506"/>
      <c r="E1" s="506"/>
      <c r="F1" s="506"/>
    </row>
    <row r="2" spans="1:6" ht="88.5" customHeight="1">
      <c r="A2" s="507" t="s">
        <v>391</v>
      </c>
      <c r="B2" s="507"/>
      <c r="C2" s="507"/>
      <c r="D2" s="507"/>
      <c r="E2" s="507"/>
      <c r="F2" s="507"/>
    </row>
    <row r="3" spans="1:6" ht="21.75" customHeight="1">
      <c r="A3" s="508" t="s">
        <v>13</v>
      </c>
      <c r="B3" s="508"/>
      <c r="C3" s="508"/>
      <c r="D3" s="508"/>
      <c r="E3" s="508"/>
      <c r="F3" s="508"/>
    </row>
    <row r="4" spans="1:6" ht="14.25">
      <c r="A4" s="509"/>
      <c r="B4" s="509"/>
      <c r="C4" s="509"/>
      <c r="D4" s="509"/>
      <c r="E4" s="509"/>
      <c r="F4" s="509"/>
    </row>
    <row r="5" spans="1:6" ht="14.25">
      <c r="A5" s="510" t="s">
        <v>14</v>
      </c>
      <c r="B5" s="510"/>
      <c r="C5" s="510"/>
      <c r="D5" s="510"/>
      <c r="E5" s="510"/>
      <c r="F5" s="510"/>
    </row>
    <row r="6" spans="1:6" ht="15">
      <c r="A6" s="505"/>
      <c r="B6" s="505"/>
      <c r="C6" s="505"/>
      <c r="D6" s="505"/>
      <c r="E6" s="505"/>
      <c r="F6" s="505"/>
    </row>
    <row r="7" spans="1:6" s="181" customFormat="1" ht="15">
      <c r="A7" s="188" t="s">
        <v>15</v>
      </c>
      <c r="B7" s="495"/>
      <c r="C7" s="495"/>
      <c r="D7" s="495"/>
      <c r="E7" s="495"/>
      <c r="F7" s="495"/>
    </row>
    <row r="8" spans="1:6" s="181" customFormat="1" ht="15">
      <c r="A8" s="188" t="s">
        <v>16</v>
      </c>
      <c r="B8" s="190"/>
      <c r="C8" s="188" t="s">
        <v>17</v>
      </c>
      <c r="D8" s="191"/>
      <c r="E8" s="188" t="s">
        <v>17</v>
      </c>
      <c r="F8" s="189"/>
    </row>
    <row r="9" spans="1:6" s="181" customFormat="1" ht="15">
      <c r="A9" s="188" t="s">
        <v>18</v>
      </c>
      <c r="B9" s="499"/>
      <c r="C9" s="500"/>
      <c r="D9" s="500"/>
      <c r="E9" s="500"/>
      <c r="F9" s="501"/>
    </row>
    <row r="10" spans="1:6" s="181" customFormat="1" ht="15">
      <c r="A10" s="188" t="s">
        <v>19</v>
      </c>
      <c r="B10" s="495"/>
      <c r="C10" s="495"/>
      <c r="D10" s="495"/>
      <c r="E10" s="495"/>
      <c r="F10" s="495"/>
    </row>
    <row r="11" spans="1:6" s="181" customFormat="1" ht="15">
      <c r="A11" s="188" t="s">
        <v>20</v>
      </c>
      <c r="B11" s="495"/>
      <c r="C11" s="495"/>
      <c r="D11" s="495"/>
      <c r="E11" s="188" t="s">
        <v>21</v>
      </c>
      <c r="F11" s="189"/>
    </row>
    <row r="12" spans="1:6" s="181" customFormat="1" ht="15">
      <c r="A12" s="188" t="s">
        <v>22</v>
      </c>
      <c r="B12" s="502"/>
      <c r="C12" s="503"/>
      <c r="D12" s="503"/>
      <c r="E12" s="503"/>
      <c r="F12" s="504"/>
    </row>
    <row r="13" spans="1:6" ht="15">
      <c r="A13" s="192"/>
      <c r="B13" s="192"/>
      <c r="C13" s="192"/>
      <c r="D13" s="192"/>
      <c r="E13" s="192"/>
      <c r="F13" s="192"/>
    </row>
    <row r="14" spans="1:6" ht="14.25">
      <c r="A14" s="498" t="s">
        <v>23</v>
      </c>
      <c r="B14" s="498"/>
      <c r="C14" s="498"/>
      <c r="D14" s="498"/>
      <c r="E14" s="498"/>
      <c r="F14" s="498"/>
    </row>
    <row r="15" spans="1:6" ht="15">
      <c r="A15" s="192"/>
      <c r="B15" s="192"/>
      <c r="C15" s="192"/>
      <c r="D15" s="192"/>
      <c r="E15" s="192"/>
      <c r="F15" s="192"/>
    </row>
    <row r="16" spans="1:6" ht="15">
      <c r="A16" s="193" t="s">
        <v>24</v>
      </c>
      <c r="B16" s="495"/>
      <c r="C16" s="495"/>
      <c r="D16" s="495"/>
      <c r="E16" s="495"/>
      <c r="F16" s="495"/>
    </row>
    <row r="17" spans="1:8" ht="15">
      <c r="A17" s="193" t="s">
        <v>25</v>
      </c>
      <c r="B17" s="495"/>
      <c r="C17" s="495"/>
      <c r="D17" s="193" t="s">
        <v>26</v>
      </c>
      <c r="E17" s="495"/>
      <c r="F17" s="495"/>
    </row>
    <row r="18" spans="1:8" ht="12.75" customHeight="1">
      <c r="A18" s="493" t="s">
        <v>27</v>
      </c>
      <c r="B18" s="494"/>
      <c r="C18" s="495"/>
      <c r="D18" s="495"/>
      <c r="E18" s="495"/>
      <c r="F18" s="495"/>
    </row>
    <row r="19" spans="1:8" ht="15">
      <c r="A19" s="192"/>
      <c r="B19" s="192"/>
      <c r="C19" s="192"/>
      <c r="D19" s="192"/>
      <c r="E19" s="192"/>
      <c r="F19" s="192"/>
    </row>
    <row r="20" spans="1:8" ht="14.25">
      <c r="A20" s="496" t="s">
        <v>28</v>
      </c>
      <c r="B20" s="496"/>
      <c r="C20" s="496"/>
      <c r="D20" s="496"/>
      <c r="E20" s="496"/>
      <c r="F20" s="496"/>
    </row>
    <row r="21" spans="1:8" ht="15">
      <c r="A21" s="192"/>
      <c r="B21" s="192"/>
      <c r="C21" s="192"/>
      <c r="D21" s="192"/>
      <c r="E21" s="192"/>
      <c r="F21" s="192"/>
    </row>
    <row r="22" spans="1:8" s="181" customFormat="1" ht="38.25" customHeight="1">
      <c r="A22" s="194" t="s">
        <v>29</v>
      </c>
      <c r="B22" s="497" t="s">
        <v>30</v>
      </c>
      <c r="C22" s="497"/>
      <c r="D22" s="497"/>
      <c r="E22" s="497"/>
      <c r="F22" s="497"/>
      <c r="H22" s="182"/>
    </row>
    <row r="23" spans="1:8" ht="15">
      <c r="A23" s="192"/>
      <c r="B23" s="192"/>
      <c r="C23" s="192"/>
      <c r="D23" s="192"/>
      <c r="E23" s="192"/>
      <c r="F23" s="192"/>
    </row>
    <row r="24" spans="1:8" s="181" customFormat="1" ht="14.25">
      <c r="A24" s="485" t="s">
        <v>31</v>
      </c>
      <c r="B24" s="485"/>
      <c r="C24" s="195">
        <v>90</v>
      </c>
      <c r="D24" s="485" t="s">
        <v>32</v>
      </c>
      <c r="E24" s="485" t="s">
        <v>33</v>
      </c>
      <c r="F24" s="485"/>
    </row>
    <row r="25" spans="1:8" s="181" customFormat="1" ht="15">
      <c r="A25" s="196"/>
      <c r="B25" s="196"/>
      <c r="C25" s="197"/>
      <c r="D25" s="197"/>
      <c r="E25" s="198"/>
      <c r="F25" s="198"/>
    </row>
    <row r="26" spans="1:8" s="181" customFormat="1" ht="32.25" customHeight="1">
      <c r="A26" s="486" t="s">
        <v>34</v>
      </c>
      <c r="B26" s="486"/>
      <c r="C26" s="487">
        <f>'PROPOSTA GLOBAL'!J26</f>
        <v>9749231.6850574724</v>
      </c>
      <c r="D26" s="487"/>
      <c r="E26" s="487"/>
      <c r="F26" s="487"/>
    </row>
    <row r="27" spans="1:8" s="181" customFormat="1" ht="15">
      <c r="A27" s="488" t="s">
        <v>35</v>
      </c>
      <c r="B27" s="489"/>
      <c r="C27" s="489"/>
      <c r="D27" s="489"/>
      <c r="E27" s="489"/>
      <c r="F27" s="490"/>
    </row>
    <row r="28" spans="1:8" s="181" customFormat="1" ht="21" customHeight="1">
      <c r="A28" s="491"/>
      <c r="B28" s="492"/>
      <c r="C28" s="492"/>
      <c r="D28" s="492"/>
      <c r="E28" s="492"/>
      <c r="F28" s="492"/>
      <c r="G28" s="183"/>
    </row>
    <row r="29" spans="1:8" s="181" customFormat="1" ht="15">
      <c r="A29" s="196"/>
      <c r="B29" s="196"/>
      <c r="C29" s="197"/>
      <c r="D29" s="197"/>
      <c r="E29" s="198"/>
      <c r="F29" s="198"/>
    </row>
    <row r="30" spans="1:8" ht="15">
      <c r="A30" s="477"/>
      <c r="B30" s="477"/>
      <c r="C30" s="477"/>
      <c r="D30" s="478"/>
      <c r="E30" s="479"/>
      <c r="F30" s="480"/>
    </row>
    <row r="31" spans="1:8" ht="15">
      <c r="A31" s="481" t="s">
        <v>36</v>
      </c>
      <c r="B31" s="482"/>
      <c r="C31" s="483"/>
      <c r="D31" s="484" t="s">
        <v>37</v>
      </c>
      <c r="E31" s="484"/>
      <c r="F31" s="484"/>
    </row>
  </sheetData>
  <mergeCells count="29">
    <mergeCell ref="A6:F6"/>
    <mergeCell ref="A1:F1"/>
    <mergeCell ref="A2:F2"/>
    <mergeCell ref="A3:F3"/>
    <mergeCell ref="A4:F4"/>
    <mergeCell ref="A5:F5"/>
    <mergeCell ref="B7:F7"/>
    <mergeCell ref="B9:F9"/>
    <mergeCell ref="B10:F10"/>
    <mergeCell ref="B11:D11"/>
    <mergeCell ref="B12:F12"/>
    <mergeCell ref="A18:B18"/>
    <mergeCell ref="C18:F18"/>
    <mergeCell ref="A20:F20"/>
    <mergeCell ref="B22:F22"/>
    <mergeCell ref="A14:F14"/>
    <mergeCell ref="B16:F16"/>
    <mergeCell ref="B17:C17"/>
    <mergeCell ref="E17:F17"/>
    <mergeCell ref="A30:C30"/>
    <mergeCell ref="D30:F30"/>
    <mergeCell ref="A31:C31"/>
    <mergeCell ref="D31:F31"/>
    <mergeCell ref="A24:B24"/>
    <mergeCell ref="D24:F24"/>
    <mergeCell ref="A26:B26"/>
    <mergeCell ref="C26:F26"/>
    <mergeCell ref="A27:F27"/>
    <mergeCell ref="A28:F28"/>
  </mergeCells>
  <pageMargins left="0.511811024" right="0.511811024" top="0.78740157499999996" bottom="0.78740157499999996" header="0.31496062000000002" footer="0.31496062000000002"/>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BB24A-95F2-4382-A99B-98A208EDFC3B}">
  <sheetPr>
    <tabColor theme="8" tint="-0.249977111117893"/>
  </sheetPr>
  <dimension ref="A1:A10"/>
  <sheetViews>
    <sheetView view="pageBreakPreview" zoomScale="115" zoomScaleNormal="100" zoomScaleSheetLayoutView="115" workbookViewId="0">
      <selection activeCell="A20" sqref="A20"/>
    </sheetView>
  </sheetViews>
  <sheetFormatPr defaultColWidth="11.5703125" defaultRowHeight="14.25"/>
  <cols>
    <col min="1" max="1" width="132" style="185" customWidth="1"/>
    <col min="2" max="256" width="11.5703125" style="185"/>
    <col min="257" max="257" width="113.5703125" style="185" customWidth="1"/>
    <col min="258" max="512" width="11.5703125" style="185"/>
    <col min="513" max="513" width="113.5703125" style="185" customWidth="1"/>
    <col min="514" max="768" width="11.5703125" style="185"/>
    <col min="769" max="769" width="113.5703125" style="185" customWidth="1"/>
    <col min="770" max="1024" width="11.5703125" style="185"/>
    <col min="1025" max="1025" width="113.5703125" style="185" customWidth="1"/>
    <col min="1026" max="1280" width="11.5703125" style="185"/>
    <col min="1281" max="1281" width="113.5703125" style="185" customWidth="1"/>
    <col min="1282" max="1536" width="11.5703125" style="185"/>
    <col min="1537" max="1537" width="113.5703125" style="185" customWidth="1"/>
    <col min="1538" max="1792" width="11.5703125" style="185"/>
    <col min="1793" max="1793" width="113.5703125" style="185" customWidth="1"/>
    <col min="1794" max="2048" width="11.5703125" style="185"/>
    <col min="2049" max="2049" width="113.5703125" style="185" customWidth="1"/>
    <col min="2050" max="2304" width="11.5703125" style="185"/>
    <col min="2305" max="2305" width="113.5703125" style="185" customWidth="1"/>
    <col min="2306" max="2560" width="11.5703125" style="185"/>
    <col min="2561" max="2561" width="113.5703125" style="185" customWidth="1"/>
    <col min="2562" max="2816" width="11.5703125" style="185"/>
    <col min="2817" max="2817" width="113.5703125" style="185" customWidth="1"/>
    <col min="2818" max="3072" width="11.5703125" style="185"/>
    <col min="3073" max="3073" width="113.5703125" style="185" customWidth="1"/>
    <col min="3074" max="3328" width="11.5703125" style="185"/>
    <col min="3329" max="3329" width="113.5703125" style="185" customWidth="1"/>
    <col min="3330" max="3584" width="11.5703125" style="185"/>
    <col min="3585" max="3585" width="113.5703125" style="185" customWidth="1"/>
    <col min="3586" max="3840" width="11.5703125" style="185"/>
    <col min="3841" max="3841" width="113.5703125" style="185" customWidth="1"/>
    <col min="3842" max="4096" width="11.5703125" style="185"/>
    <col min="4097" max="4097" width="113.5703125" style="185" customWidth="1"/>
    <col min="4098" max="4352" width="11.5703125" style="185"/>
    <col min="4353" max="4353" width="113.5703125" style="185" customWidth="1"/>
    <col min="4354" max="4608" width="11.5703125" style="185"/>
    <col min="4609" max="4609" width="113.5703125" style="185" customWidth="1"/>
    <col min="4610" max="4864" width="11.5703125" style="185"/>
    <col min="4865" max="4865" width="113.5703125" style="185" customWidth="1"/>
    <col min="4866" max="5120" width="11.5703125" style="185"/>
    <col min="5121" max="5121" width="113.5703125" style="185" customWidth="1"/>
    <col min="5122" max="5376" width="11.5703125" style="185"/>
    <col min="5377" max="5377" width="113.5703125" style="185" customWidth="1"/>
    <col min="5378" max="5632" width="11.5703125" style="185"/>
    <col min="5633" max="5633" width="113.5703125" style="185" customWidth="1"/>
    <col min="5634" max="5888" width="11.5703125" style="185"/>
    <col min="5889" max="5889" width="113.5703125" style="185" customWidth="1"/>
    <col min="5890" max="6144" width="11.5703125" style="185"/>
    <col min="6145" max="6145" width="113.5703125" style="185" customWidth="1"/>
    <col min="6146" max="6400" width="11.5703125" style="185"/>
    <col min="6401" max="6401" width="113.5703125" style="185" customWidth="1"/>
    <col min="6402" max="6656" width="11.5703125" style="185"/>
    <col min="6657" max="6657" width="113.5703125" style="185" customWidth="1"/>
    <col min="6658" max="6912" width="11.5703125" style="185"/>
    <col min="6913" max="6913" width="113.5703125" style="185" customWidth="1"/>
    <col min="6914" max="7168" width="11.5703125" style="185"/>
    <col min="7169" max="7169" width="113.5703125" style="185" customWidth="1"/>
    <col min="7170" max="7424" width="11.5703125" style="185"/>
    <col min="7425" max="7425" width="113.5703125" style="185" customWidth="1"/>
    <col min="7426" max="7680" width="11.5703125" style="185"/>
    <col min="7681" max="7681" width="113.5703125" style="185" customWidth="1"/>
    <col min="7682" max="7936" width="11.5703125" style="185"/>
    <col min="7937" max="7937" width="113.5703125" style="185" customWidth="1"/>
    <col min="7938" max="8192" width="11.5703125" style="185"/>
    <col min="8193" max="8193" width="113.5703125" style="185" customWidth="1"/>
    <col min="8194" max="8448" width="11.5703125" style="185"/>
    <col min="8449" max="8449" width="113.5703125" style="185" customWidth="1"/>
    <col min="8450" max="8704" width="11.5703125" style="185"/>
    <col min="8705" max="8705" width="113.5703125" style="185" customWidth="1"/>
    <col min="8706" max="8960" width="11.5703125" style="185"/>
    <col min="8961" max="8961" width="113.5703125" style="185" customWidth="1"/>
    <col min="8962" max="9216" width="11.5703125" style="185"/>
    <col min="9217" max="9217" width="113.5703125" style="185" customWidth="1"/>
    <col min="9218" max="9472" width="11.5703125" style="185"/>
    <col min="9473" max="9473" width="113.5703125" style="185" customWidth="1"/>
    <col min="9474" max="9728" width="11.5703125" style="185"/>
    <col min="9729" max="9729" width="113.5703125" style="185" customWidth="1"/>
    <col min="9730" max="9984" width="11.5703125" style="185"/>
    <col min="9985" max="9985" width="113.5703125" style="185" customWidth="1"/>
    <col min="9986" max="10240" width="11.5703125" style="185"/>
    <col min="10241" max="10241" width="113.5703125" style="185" customWidth="1"/>
    <col min="10242" max="10496" width="11.5703125" style="185"/>
    <col min="10497" max="10497" width="113.5703125" style="185" customWidth="1"/>
    <col min="10498" max="10752" width="11.5703125" style="185"/>
    <col min="10753" max="10753" width="113.5703125" style="185" customWidth="1"/>
    <col min="10754" max="11008" width="11.5703125" style="185"/>
    <col min="11009" max="11009" width="113.5703125" style="185" customWidth="1"/>
    <col min="11010" max="11264" width="11.5703125" style="185"/>
    <col min="11265" max="11265" width="113.5703125" style="185" customWidth="1"/>
    <col min="11266" max="11520" width="11.5703125" style="185"/>
    <col min="11521" max="11521" width="113.5703125" style="185" customWidth="1"/>
    <col min="11522" max="11776" width="11.5703125" style="185"/>
    <col min="11777" max="11777" width="113.5703125" style="185" customWidth="1"/>
    <col min="11778" max="12032" width="11.5703125" style="185"/>
    <col min="12033" max="12033" width="113.5703125" style="185" customWidth="1"/>
    <col min="12034" max="12288" width="11.5703125" style="185"/>
    <col min="12289" max="12289" width="113.5703125" style="185" customWidth="1"/>
    <col min="12290" max="12544" width="11.5703125" style="185"/>
    <col min="12545" max="12545" width="113.5703125" style="185" customWidth="1"/>
    <col min="12546" max="12800" width="11.5703125" style="185"/>
    <col min="12801" max="12801" width="113.5703125" style="185" customWidth="1"/>
    <col min="12802" max="13056" width="11.5703125" style="185"/>
    <col min="13057" max="13057" width="113.5703125" style="185" customWidth="1"/>
    <col min="13058" max="13312" width="11.5703125" style="185"/>
    <col min="13313" max="13313" width="113.5703125" style="185" customWidth="1"/>
    <col min="13314" max="13568" width="11.5703125" style="185"/>
    <col min="13569" max="13569" width="113.5703125" style="185" customWidth="1"/>
    <col min="13570" max="13824" width="11.5703125" style="185"/>
    <col min="13825" max="13825" width="113.5703125" style="185" customWidth="1"/>
    <col min="13826" max="14080" width="11.5703125" style="185"/>
    <col min="14081" max="14081" width="113.5703125" style="185" customWidth="1"/>
    <col min="14082" max="14336" width="11.5703125" style="185"/>
    <col min="14337" max="14337" width="113.5703125" style="185" customWidth="1"/>
    <col min="14338" max="14592" width="11.5703125" style="185"/>
    <col min="14593" max="14593" width="113.5703125" style="185" customWidth="1"/>
    <col min="14594" max="14848" width="11.5703125" style="185"/>
    <col min="14849" max="14849" width="113.5703125" style="185" customWidth="1"/>
    <col min="14850" max="15104" width="11.5703125" style="185"/>
    <col min="15105" max="15105" width="113.5703125" style="185" customWidth="1"/>
    <col min="15106" max="15360" width="11.5703125" style="185"/>
    <col min="15361" max="15361" width="113.5703125" style="185" customWidth="1"/>
    <col min="15362" max="15616" width="11.5703125" style="185"/>
    <col min="15617" max="15617" width="113.5703125" style="185" customWidth="1"/>
    <col min="15618" max="15872" width="11.5703125" style="185"/>
    <col min="15873" max="15873" width="113.5703125" style="185" customWidth="1"/>
    <col min="15874" max="16128" width="11.5703125" style="185"/>
    <col min="16129" max="16129" width="113.5703125" style="185" customWidth="1"/>
    <col min="16130" max="16384" width="11.5703125" style="185"/>
  </cols>
  <sheetData>
    <row r="1" spans="1:1" ht="34.5" customHeight="1">
      <c r="A1" s="184" t="s">
        <v>38</v>
      </c>
    </row>
    <row r="2" spans="1:1" s="4" customFormat="1" ht="22.5" customHeight="1">
      <c r="A2" s="186" t="s">
        <v>347</v>
      </c>
    </row>
    <row r="3" spans="1:1" s="4" customFormat="1" ht="35.25" customHeight="1">
      <c r="A3" s="200" t="s">
        <v>390</v>
      </c>
    </row>
    <row r="4" spans="1:1" s="4" customFormat="1" ht="124.5" customHeight="1">
      <c r="A4" s="200" t="s">
        <v>461</v>
      </c>
    </row>
    <row r="5" spans="1:1" s="4" customFormat="1" ht="69" customHeight="1">
      <c r="A5" s="200" t="s">
        <v>462</v>
      </c>
    </row>
    <row r="6" spans="1:1" s="4" customFormat="1" ht="94.5" customHeight="1">
      <c r="A6" s="231" t="s">
        <v>463</v>
      </c>
    </row>
    <row r="7" spans="1:1" s="4" customFormat="1" ht="21" customHeight="1">
      <c r="A7" s="187" t="s">
        <v>332</v>
      </c>
    </row>
    <row r="8" spans="1:1" s="4" customFormat="1" ht="70.5" customHeight="1">
      <c r="A8" s="200" t="s">
        <v>464</v>
      </c>
    </row>
    <row r="9" spans="1:1" s="4" customFormat="1" ht="57" customHeight="1">
      <c r="A9" s="187" t="s">
        <v>346</v>
      </c>
    </row>
    <row r="10" spans="1:1" s="4" customFormat="1" ht="33" customHeight="1">
      <c r="A10" s="187" t="s">
        <v>340</v>
      </c>
    </row>
  </sheetData>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35BA1-5E41-4C98-9637-57CF8F93B571}">
  <sheetPr>
    <pageSetUpPr fitToPage="1"/>
  </sheetPr>
  <dimension ref="A2:IG62"/>
  <sheetViews>
    <sheetView showGridLines="0" topLeftCell="D10" zoomScale="85" zoomScaleNormal="85" zoomScaleSheetLayoutView="115" workbookViewId="0">
      <selection activeCell="P19" sqref="P19"/>
    </sheetView>
  </sheetViews>
  <sheetFormatPr defaultColWidth="9.140625" defaultRowHeight="15.75"/>
  <cols>
    <col min="1" max="1" width="11" style="201" customWidth="1"/>
    <col min="2" max="2" width="46.7109375" style="201" customWidth="1"/>
    <col min="3" max="3" width="23.7109375" style="201" customWidth="1"/>
    <col min="4" max="4" width="15.7109375" style="212" customWidth="1"/>
    <col min="5" max="5" width="16.5703125" style="212" customWidth="1"/>
    <col min="6" max="6" width="18.28515625" style="212" customWidth="1"/>
    <col min="7" max="9" width="19.85546875" style="201" customWidth="1"/>
    <col min="10" max="10" width="21.42578125" style="201" customWidth="1"/>
    <col min="11" max="11" width="11" style="201" customWidth="1"/>
    <col min="12" max="241" width="11.7109375" style="201" customWidth="1"/>
    <col min="242" max="1028" width="11.7109375" style="202" customWidth="1"/>
    <col min="1029" max="16384" width="9.140625" style="202"/>
  </cols>
  <sheetData>
    <row r="2" spans="1:16">
      <c r="A2" s="511" t="s">
        <v>333</v>
      </c>
      <c r="B2" s="511"/>
      <c r="C2" s="511"/>
      <c r="D2" s="511"/>
      <c r="E2" s="511"/>
      <c r="F2" s="511"/>
      <c r="G2" s="511"/>
      <c r="H2" s="511"/>
      <c r="I2" s="511"/>
      <c r="J2" s="511"/>
    </row>
    <row r="3" spans="1:16">
      <c r="A3" s="511"/>
      <c r="B3" s="511"/>
      <c r="C3" s="511"/>
      <c r="D3" s="511"/>
      <c r="E3" s="511"/>
      <c r="F3" s="511"/>
      <c r="G3" s="511"/>
      <c r="H3" s="511"/>
      <c r="I3" s="511"/>
      <c r="J3" s="511"/>
    </row>
    <row r="4" spans="1:16">
      <c r="A4" s="511" t="s">
        <v>468</v>
      </c>
      <c r="B4" s="511"/>
      <c r="C4" s="511"/>
      <c r="D4" s="511"/>
      <c r="E4" s="511"/>
      <c r="F4" s="511"/>
      <c r="G4" s="511"/>
      <c r="H4" s="511"/>
      <c r="I4" s="511"/>
      <c r="J4" s="511"/>
    </row>
    <row r="5" spans="1:16">
      <c r="A5" s="511"/>
      <c r="B5" s="511"/>
      <c r="C5" s="511"/>
      <c r="D5" s="511"/>
      <c r="E5" s="511"/>
      <c r="F5" s="511"/>
      <c r="G5" s="511"/>
      <c r="H5" s="511"/>
      <c r="I5" s="511"/>
      <c r="J5" s="511"/>
    </row>
    <row r="6" spans="1:16">
      <c r="A6" s="203"/>
      <c r="B6" s="203"/>
      <c r="C6" s="222"/>
      <c r="D6" s="203"/>
      <c r="E6" s="203"/>
      <c r="F6" s="203"/>
      <c r="G6" s="203"/>
      <c r="H6" s="203"/>
      <c r="I6" s="203"/>
      <c r="J6" s="203"/>
    </row>
    <row r="7" spans="1:16">
      <c r="A7" s="511" t="s">
        <v>334</v>
      </c>
      <c r="B7" s="511"/>
      <c r="C7" s="511"/>
      <c r="D7" s="511"/>
      <c r="E7" s="511"/>
      <c r="F7" s="511"/>
      <c r="G7" s="511"/>
      <c r="H7" s="511"/>
      <c r="I7" s="511"/>
      <c r="J7" s="511"/>
    </row>
    <row r="8" spans="1:16">
      <c r="A8" s="511"/>
      <c r="B8" s="511"/>
      <c r="C8" s="511"/>
      <c r="D8" s="511"/>
      <c r="E8" s="511"/>
      <c r="F8" s="511"/>
      <c r="G8" s="511"/>
      <c r="H8" s="511"/>
      <c r="I8" s="511"/>
      <c r="J8" s="511"/>
    </row>
    <row r="9" spans="1:16">
      <c r="A9" s="511"/>
      <c r="B9" s="511"/>
      <c r="C9" s="511"/>
      <c r="D9" s="511"/>
      <c r="E9" s="511"/>
      <c r="F9" s="511"/>
      <c r="G9" s="511"/>
      <c r="H9" s="511"/>
      <c r="I9" s="511"/>
      <c r="J9" s="511"/>
    </row>
    <row r="10" spans="1:16" ht="35.25" customHeight="1">
      <c r="A10" s="511" t="s">
        <v>387</v>
      </c>
      <c r="B10" s="511"/>
      <c r="C10" s="511"/>
      <c r="D10" s="511"/>
      <c r="E10" s="511"/>
      <c r="F10" s="511"/>
      <c r="G10" s="511"/>
      <c r="H10" s="511"/>
      <c r="I10" s="511"/>
      <c r="J10" s="511"/>
    </row>
    <row r="11" spans="1:16">
      <c r="A11" s="516"/>
      <c r="B11" s="516"/>
      <c r="C11" s="516"/>
      <c r="D11" s="516"/>
      <c r="E11" s="516"/>
      <c r="F11" s="516"/>
      <c r="G11" s="516"/>
      <c r="H11" s="516"/>
      <c r="I11" s="516"/>
      <c r="J11" s="516"/>
    </row>
    <row r="12" spans="1:16" ht="36" customHeight="1">
      <c r="A12" s="511" t="s">
        <v>349</v>
      </c>
      <c r="B12" s="511"/>
      <c r="C12" s="511"/>
      <c r="D12" s="511"/>
      <c r="E12" s="511"/>
      <c r="F12" s="511"/>
      <c r="G12" s="511"/>
      <c r="H12" s="511"/>
      <c r="I12" s="511"/>
      <c r="J12" s="511"/>
    </row>
    <row r="13" spans="1:16">
      <c r="A13" s="516"/>
      <c r="B13" s="516"/>
      <c r="C13" s="516"/>
      <c r="D13" s="516"/>
      <c r="E13" s="516"/>
      <c r="F13" s="516"/>
      <c r="G13" s="516"/>
      <c r="H13" s="516"/>
      <c r="I13" s="516"/>
      <c r="J13" s="516"/>
    </row>
    <row r="14" spans="1:16" ht="28.5" customHeight="1">
      <c r="A14" s="517" t="s">
        <v>335</v>
      </c>
      <c r="B14" s="517"/>
      <c r="C14" s="517"/>
      <c r="D14" s="518"/>
      <c r="E14" s="518"/>
      <c r="F14" s="518"/>
      <c r="G14" s="518"/>
      <c r="H14" s="518"/>
      <c r="I14" s="518"/>
      <c r="J14" s="517"/>
      <c r="K14" s="204"/>
      <c r="L14" s="204"/>
      <c r="M14" s="204"/>
      <c r="O14" s="514"/>
      <c r="P14" s="514"/>
    </row>
    <row r="15" spans="1:16" ht="66.75" customHeight="1">
      <c r="A15" s="363" t="s">
        <v>39</v>
      </c>
      <c r="B15" s="363" t="s">
        <v>43</v>
      </c>
      <c r="C15" s="385" t="s">
        <v>423</v>
      </c>
      <c r="D15" s="370" t="s">
        <v>40</v>
      </c>
      <c r="E15" s="370" t="s">
        <v>339</v>
      </c>
      <c r="F15" s="364" t="s">
        <v>331</v>
      </c>
      <c r="G15" s="368" t="s">
        <v>41</v>
      </c>
      <c r="H15" s="364" t="s">
        <v>42</v>
      </c>
      <c r="I15" s="367" t="s">
        <v>471</v>
      </c>
      <c r="J15" s="365" t="s">
        <v>336</v>
      </c>
      <c r="K15" s="204"/>
      <c r="L15" s="204"/>
      <c r="M15" s="204"/>
      <c r="O15" s="232"/>
      <c r="P15" s="232"/>
    </row>
    <row r="16" spans="1:16" ht="43.5" customHeight="1">
      <c r="A16" s="366">
        <v>1</v>
      </c>
      <c r="B16" s="214" t="s">
        <v>426</v>
      </c>
      <c r="C16" s="378" t="s">
        <v>386</v>
      </c>
      <c r="D16" s="525" t="s">
        <v>53</v>
      </c>
      <c r="E16" s="379">
        <v>1</v>
      </c>
      <c r="F16" s="227">
        <f>'Postos PVH 12X36 e 44hs'!M129</f>
        <v>5717.1647509578543</v>
      </c>
      <c r="G16" s="216">
        <f t="shared" ref="G16" si="0">F16*E16</f>
        <v>5717.1647509578543</v>
      </c>
      <c r="H16" s="213">
        <f t="shared" ref="H16" si="1">G16*12</f>
        <v>68605.977011494251</v>
      </c>
      <c r="I16" s="221">
        <f t="shared" ref="I16" si="2">F16*60</f>
        <v>343029.88505747123</v>
      </c>
      <c r="J16" s="218">
        <f t="shared" ref="J16" si="3">E16*F16*60</f>
        <v>343029.88505747123</v>
      </c>
      <c r="K16" s="219">
        <f>J16-'Postos PVH 12X36 e 44hs'!M132</f>
        <v>0</v>
      </c>
      <c r="L16" s="219"/>
      <c r="M16" s="204"/>
      <c r="N16" s="205"/>
      <c r="O16" s="206"/>
      <c r="P16" s="206"/>
    </row>
    <row r="17" spans="1:16" ht="39" customHeight="1">
      <c r="A17" s="366">
        <v>2</v>
      </c>
      <c r="B17" s="214" t="s">
        <v>424</v>
      </c>
      <c r="C17" s="378" t="s">
        <v>388</v>
      </c>
      <c r="D17" s="525"/>
      <c r="E17" s="380">
        <v>2</v>
      </c>
      <c r="F17" s="369">
        <f>'Postos PVH 12X36 e 44hs'!I130</f>
        <v>10611.87</v>
      </c>
      <c r="G17" s="216">
        <f>F17*E17</f>
        <v>21223.74</v>
      </c>
      <c r="H17" s="213">
        <f>G17*12</f>
        <v>254684.88</v>
      </c>
      <c r="I17" s="221">
        <f>F17*60</f>
        <v>636712.20000000007</v>
      </c>
      <c r="J17" s="218">
        <f>E17*F17*60</f>
        <v>1273424.4000000001</v>
      </c>
      <c r="K17" s="219">
        <f>J17-'Postos PVH 12X36 e 44hs'!I132</f>
        <v>0</v>
      </c>
      <c r="L17" s="219"/>
      <c r="M17" s="204"/>
      <c r="N17" s="205"/>
      <c r="O17" s="206"/>
      <c r="P17" s="206"/>
    </row>
    <row r="18" spans="1:16" ht="39" customHeight="1">
      <c r="A18" s="366">
        <v>3</v>
      </c>
      <c r="B18" s="214" t="s">
        <v>425</v>
      </c>
      <c r="C18" s="378" t="s">
        <v>431</v>
      </c>
      <c r="D18" s="525"/>
      <c r="E18" s="381">
        <v>2</v>
      </c>
      <c r="F18" s="226">
        <f>'Postos PVH 12X36 e 44hs'!K130</f>
        <v>11817.38</v>
      </c>
      <c r="G18" s="216">
        <f t="shared" ref="G18:G24" si="4">F18*E18</f>
        <v>23634.76</v>
      </c>
      <c r="H18" s="213">
        <f t="shared" ref="H18:H24" si="5">G18*12</f>
        <v>283617.12</v>
      </c>
      <c r="I18" s="221">
        <f t="shared" ref="I18:I24" si="6">F18*60</f>
        <v>709042.79999999993</v>
      </c>
      <c r="J18" s="218">
        <f t="shared" ref="J18:J24" si="7">E18*F18*60</f>
        <v>1418085.5999999999</v>
      </c>
      <c r="K18" s="219">
        <f>J18-'Postos PVH 12X36 e 44hs'!K132</f>
        <v>0</v>
      </c>
      <c r="L18" s="219"/>
      <c r="M18" s="204"/>
      <c r="N18" s="205"/>
      <c r="O18" s="206"/>
      <c r="P18" s="206"/>
    </row>
    <row r="19" spans="1:16" ht="27" customHeight="1">
      <c r="A19" s="526" t="s">
        <v>421</v>
      </c>
      <c r="B19" s="527"/>
      <c r="C19" s="527"/>
      <c r="D19" s="527"/>
      <c r="E19" s="527"/>
      <c r="F19" s="528"/>
      <c r="G19" s="446">
        <f>SUM(G16:G18)</f>
        <v>50575.664750957854</v>
      </c>
      <c r="H19" s="447">
        <f>SUM(H16:H18)</f>
        <v>606907.97701149422</v>
      </c>
      <c r="I19" s="448"/>
      <c r="J19" s="449">
        <f>SUM(J16:J18)</f>
        <v>3034539.8850574712</v>
      </c>
      <c r="K19" s="219">
        <f>J19-'Postos PVH 12X36 e 44hs'!O132</f>
        <v>0</v>
      </c>
      <c r="L19" s="219"/>
      <c r="M19" s="204"/>
      <c r="N19" s="205"/>
      <c r="O19" s="206"/>
      <c r="P19" s="206"/>
    </row>
    <row r="20" spans="1:16" ht="48" customHeight="1">
      <c r="A20" s="366">
        <v>4</v>
      </c>
      <c r="B20" s="215" t="s">
        <v>427</v>
      </c>
      <c r="C20" s="215" t="s">
        <v>388</v>
      </c>
      <c r="D20" s="529" t="s">
        <v>54</v>
      </c>
      <c r="E20" s="210">
        <v>1</v>
      </c>
      <c r="F20" s="217">
        <f>'Postos JPN 12X36'!I130</f>
        <v>10645.17</v>
      </c>
      <c r="G20" s="216">
        <f t="shared" si="4"/>
        <v>10645.17</v>
      </c>
      <c r="H20" s="213">
        <f t="shared" si="5"/>
        <v>127742.04000000001</v>
      </c>
      <c r="I20" s="221">
        <f t="shared" si="6"/>
        <v>638710.19999999995</v>
      </c>
      <c r="J20" s="218">
        <f t="shared" si="7"/>
        <v>638710.19999999995</v>
      </c>
      <c r="K20" s="219">
        <f>J20-'Postos JPN 12X36'!I132</f>
        <v>0</v>
      </c>
      <c r="L20" s="219"/>
      <c r="M20" s="204"/>
      <c r="N20" s="205"/>
      <c r="O20" s="206"/>
      <c r="P20" s="206"/>
    </row>
    <row r="21" spans="1:16" ht="49.5" customHeight="1">
      <c r="A21" s="366">
        <v>5</v>
      </c>
      <c r="B21" s="215" t="s">
        <v>428</v>
      </c>
      <c r="C21" s="215" t="s">
        <v>431</v>
      </c>
      <c r="D21" s="530"/>
      <c r="E21" s="210">
        <v>1</v>
      </c>
      <c r="F21" s="217">
        <f>'Postos JPN 12X36'!K130</f>
        <v>11850.68</v>
      </c>
      <c r="G21" s="216">
        <f t="shared" si="4"/>
        <v>11850.68</v>
      </c>
      <c r="H21" s="213">
        <f t="shared" si="5"/>
        <v>142208.16</v>
      </c>
      <c r="I21" s="221">
        <f t="shared" si="6"/>
        <v>711040.8</v>
      </c>
      <c r="J21" s="218">
        <f t="shared" si="7"/>
        <v>711040.8</v>
      </c>
      <c r="K21" s="219">
        <f>J21-'Postos JPN 12X36'!K132</f>
        <v>0</v>
      </c>
      <c r="L21" s="219"/>
      <c r="M21" s="204"/>
      <c r="N21" s="205"/>
      <c r="O21" s="206"/>
      <c r="P21" s="206"/>
    </row>
    <row r="22" spans="1:16" ht="28.5" customHeight="1">
      <c r="A22" s="531" t="s">
        <v>422</v>
      </c>
      <c r="B22" s="532"/>
      <c r="C22" s="532"/>
      <c r="D22" s="532"/>
      <c r="E22" s="532"/>
      <c r="F22" s="533"/>
      <c r="G22" s="450">
        <f>SUM(G20:G21)</f>
        <v>22495.85</v>
      </c>
      <c r="H22" s="451">
        <f>SUM(H20:H21)</f>
        <v>269950.2</v>
      </c>
      <c r="I22" s="452"/>
      <c r="J22" s="453">
        <f>SUM(J20:J21)</f>
        <v>1349751</v>
      </c>
      <c r="K22" s="219">
        <f>J22-'Postos JPN 12X36'!M132</f>
        <v>0</v>
      </c>
      <c r="L22" s="219"/>
      <c r="M22" s="204"/>
      <c r="N22" s="205"/>
      <c r="O22" s="206"/>
      <c r="P22" s="206"/>
    </row>
    <row r="23" spans="1:16" ht="43.5" customHeight="1">
      <c r="A23" s="366">
        <v>6</v>
      </c>
      <c r="B23" s="372" t="s">
        <v>429</v>
      </c>
      <c r="C23" s="371" t="s">
        <v>388</v>
      </c>
      <c r="D23" s="228" t="s">
        <v>432</v>
      </c>
      <c r="E23" s="229">
        <v>3</v>
      </c>
      <c r="F23" s="230">
        <f>'Postos GMI-VLA-PBO 12X36'!I128</f>
        <v>10423.51</v>
      </c>
      <c r="G23" s="216">
        <f t="shared" si="4"/>
        <v>31270.53</v>
      </c>
      <c r="H23" s="213">
        <f t="shared" si="5"/>
        <v>375246.36</v>
      </c>
      <c r="I23" s="221">
        <f t="shared" si="6"/>
        <v>625410.6</v>
      </c>
      <c r="J23" s="218">
        <f t="shared" si="7"/>
        <v>1876231.7999999998</v>
      </c>
      <c r="K23" s="219">
        <f>J23-'Postos GMI-VLA-PBO 12X36'!I130</f>
        <v>0</v>
      </c>
      <c r="L23" s="219"/>
      <c r="M23" s="204"/>
      <c r="N23" s="205"/>
      <c r="O23" s="206"/>
      <c r="P23" s="206"/>
    </row>
    <row r="24" spans="1:16" ht="42.75" customHeight="1">
      <c r="A24" s="366">
        <v>7</v>
      </c>
      <c r="B24" s="372" t="s">
        <v>430</v>
      </c>
      <c r="C24" s="371" t="s">
        <v>431</v>
      </c>
      <c r="D24" s="228" t="s">
        <v>389</v>
      </c>
      <c r="E24" s="228">
        <v>5</v>
      </c>
      <c r="F24" s="373">
        <f>'Postos GMI-VLA-PBO 12X36'!K128</f>
        <v>11629.03</v>
      </c>
      <c r="G24" s="216">
        <f t="shared" si="4"/>
        <v>58145.15</v>
      </c>
      <c r="H24" s="213">
        <f t="shared" si="5"/>
        <v>697741.8</v>
      </c>
      <c r="I24" s="221">
        <f t="shared" si="6"/>
        <v>697741.8</v>
      </c>
      <c r="J24" s="374">
        <f t="shared" si="7"/>
        <v>3488709</v>
      </c>
      <c r="K24" s="219">
        <f>J24-'Postos GMI-VLA-PBO 12X36'!K130</f>
        <v>0</v>
      </c>
      <c r="L24" s="219"/>
      <c r="M24" s="207"/>
      <c r="N24" s="208"/>
      <c r="O24" s="209"/>
      <c r="P24" s="209"/>
    </row>
    <row r="25" spans="1:16" ht="25.5" customHeight="1">
      <c r="A25" s="523" t="s">
        <v>433</v>
      </c>
      <c r="B25" s="523"/>
      <c r="C25" s="523"/>
      <c r="D25" s="523"/>
      <c r="E25" s="523"/>
      <c r="F25" s="524"/>
      <c r="G25" s="454">
        <f>SUM(G23:G24)</f>
        <v>89415.679999999993</v>
      </c>
      <c r="H25" s="455">
        <f>SUM(H23:H24)</f>
        <v>1072988.1600000001</v>
      </c>
      <c r="I25" s="456"/>
      <c r="J25" s="457">
        <f>SUM(J23:J24)</f>
        <v>5364940.7999999998</v>
      </c>
      <c r="K25" s="219">
        <f>J25-'Postos GMI-VLA-PBO 12X36'!M130</f>
        <v>0</v>
      </c>
      <c r="L25" s="219"/>
      <c r="M25" s="207"/>
      <c r="N25" s="208"/>
      <c r="O25" s="209"/>
      <c r="P25" s="209"/>
    </row>
    <row r="26" spans="1:16" ht="30.6" customHeight="1">
      <c r="A26" s="519" t="s">
        <v>420</v>
      </c>
      <c r="B26" s="520"/>
      <c r="C26" s="521"/>
      <c r="D26" s="521"/>
      <c r="E26" s="521"/>
      <c r="F26" s="522"/>
      <c r="G26" s="376">
        <f>G19+G22+G25</f>
        <v>162487.19475095783</v>
      </c>
      <c r="H26" s="377">
        <f>H19+H22+H25</f>
        <v>1949846.3370114944</v>
      </c>
      <c r="I26" s="220" t="s">
        <v>324</v>
      </c>
      <c r="J26" s="375">
        <f>J19+J22+J25</f>
        <v>9749231.6850574724</v>
      </c>
      <c r="K26" s="384">
        <f>(H26*5)-J26</f>
        <v>0</v>
      </c>
      <c r="L26" s="219"/>
      <c r="M26" s="211"/>
    </row>
    <row r="27" spans="1:16">
      <c r="A27" s="515"/>
      <c r="B27" s="515"/>
      <c r="C27" s="515"/>
      <c r="D27" s="515"/>
      <c r="E27" s="515"/>
      <c r="F27" s="515"/>
      <c r="G27" s="515"/>
      <c r="H27" s="515"/>
      <c r="I27" s="515"/>
      <c r="J27" s="515"/>
      <c r="K27" s="202"/>
      <c r="L27" s="202"/>
      <c r="M27" s="202"/>
    </row>
    <row r="28" spans="1:16" ht="32.25" customHeight="1">
      <c r="A28" s="511" t="s">
        <v>341</v>
      </c>
      <c r="B28" s="511"/>
      <c r="C28" s="511"/>
      <c r="D28" s="511"/>
      <c r="E28" s="511"/>
      <c r="F28" s="511"/>
      <c r="G28" s="511"/>
      <c r="H28" s="511"/>
      <c r="I28" s="511"/>
      <c r="J28" s="511"/>
      <c r="K28" s="202"/>
      <c r="L28" s="202"/>
      <c r="M28" s="202"/>
    </row>
    <row r="29" spans="1:16" ht="30.75" customHeight="1">
      <c r="A29" s="511" t="s">
        <v>465</v>
      </c>
      <c r="B29" s="511"/>
      <c r="C29" s="511"/>
      <c r="D29" s="511"/>
      <c r="E29" s="511"/>
      <c r="F29" s="511"/>
      <c r="G29" s="511"/>
      <c r="H29" s="511"/>
      <c r="I29" s="511"/>
      <c r="J29" s="511"/>
      <c r="K29" s="202"/>
      <c r="L29" s="202"/>
      <c r="M29" s="202"/>
    </row>
    <row r="30" spans="1:16" ht="26.25" customHeight="1">
      <c r="A30" s="511" t="s">
        <v>342</v>
      </c>
      <c r="B30" s="511"/>
      <c r="C30" s="511"/>
      <c r="D30" s="511"/>
      <c r="E30" s="511"/>
      <c r="F30" s="511"/>
      <c r="G30" s="511"/>
      <c r="H30" s="511"/>
      <c r="I30" s="511"/>
      <c r="J30" s="511"/>
      <c r="K30" s="202"/>
      <c r="L30" s="202"/>
      <c r="M30" s="202"/>
    </row>
    <row r="31" spans="1:16" ht="24" customHeight="1">
      <c r="A31" s="511" t="s">
        <v>466</v>
      </c>
      <c r="B31" s="511"/>
      <c r="C31" s="511"/>
      <c r="D31" s="511"/>
      <c r="E31" s="511"/>
      <c r="F31" s="511"/>
      <c r="G31" s="511"/>
      <c r="H31" s="511"/>
      <c r="I31" s="511"/>
      <c r="J31" s="511"/>
      <c r="K31" s="202"/>
      <c r="L31" s="202"/>
      <c r="M31" s="202"/>
    </row>
    <row r="32" spans="1:16" ht="24.75" customHeight="1">
      <c r="A32" s="511" t="s">
        <v>348</v>
      </c>
      <c r="B32" s="511"/>
      <c r="C32" s="511"/>
      <c r="D32" s="511"/>
      <c r="E32" s="511"/>
      <c r="F32" s="511"/>
      <c r="G32" s="511"/>
      <c r="H32" s="511"/>
      <c r="I32" s="511"/>
      <c r="J32" s="511"/>
      <c r="K32" s="202"/>
      <c r="L32" s="202"/>
      <c r="M32" s="202"/>
    </row>
    <row r="33" spans="1:13" ht="25.5" customHeight="1">
      <c r="A33" s="511" t="s">
        <v>343</v>
      </c>
      <c r="B33" s="511"/>
      <c r="C33" s="511"/>
      <c r="D33" s="511"/>
      <c r="E33" s="511"/>
      <c r="F33" s="511"/>
      <c r="G33" s="511"/>
      <c r="H33" s="511"/>
      <c r="I33" s="511"/>
      <c r="J33" s="511"/>
      <c r="K33" s="202"/>
      <c r="L33" s="202"/>
      <c r="M33" s="202"/>
    </row>
    <row r="34" spans="1:13" ht="22.5" customHeight="1">
      <c r="A34" s="511" t="s">
        <v>344</v>
      </c>
      <c r="B34" s="511"/>
      <c r="C34" s="511"/>
      <c r="D34" s="511"/>
      <c r="E34" s="511"/>
      <c r="F34" s="511"/>
      <c r="G34" s="511"/>
      <c r="H34" s="511"/>
      <c r="I34" s="511"/>
      <c r="J34" s="511"/>
      <c r="K34" s="202"/>
      <c r="L34" s="202"/>
      <c r="M34" s="202"/>
    </row>
    <row r="35" spans="1:13" ht="21.75" customHeight="1">
      <c r="A35" s="512" t="s">
        <v>345</v>
      </c>
      <c r="B35" s="512"/>
      <c r="C35" s="512"/>
      <c r="D35" s="512"/>
      <c r="E35" s="512"/>
      <c r="F35" s="512"/>
      <c r="G35" s="512"/>
      <c r="H35" s="512"/>
      <c r="I35" s="512"/>
      <c r="J35" s="512"/>
    </row>
    <row r="36" spans="1:13" ht="57.75" customHeight="1">
      <c r="A36" s="512" t="s">
        <v>467</v>
      </c>
      <c r="B36" s="512"/>
      <c r="C36" s="512"/>
      <c r="D36" s="512"/>
      <c r="E36" s="512"/>
      <c r="F36" s="512"/>
      <c r="G36" s="512"/>
      <c r="H36" s="512"/>
      <c r="I36" s="512"/>
      <c r="J36" s="512"/>
    </row>
    <row r="38" spans="1:13">
      <c r="A38" s="513" t="s">
        <v>337</v>
      </c>
      <c r="B38" s="513"/>
      <c r="C38" s="513"/>
      <c r="D38" s="513"/>
      <c r="E38" s="513"/>
      <c r="F38" s="513"/>
      <c r="G38" s="513"/>
      <c r="H38" s="513"/>
      <c r="I38" s="513"/>
      <c r="J38" s="513"/>
    </row>
    <row r="42" spans="1:13" ht="57" customHeight="1">
      <c r="A42" s="514" t="s">
        <v>338</v>
      </c>
      <c r="B42" s="514"/>
      <c r="C42" s="514"/>
      <c r="D42" s="514"/>
      <c r="E42" s="514"/>
      <c r="F42" s="514"/>
      <c r="G42" s="514"/>
      <c r="H42" s="514"/>
      <c r="I42" s="514"/>
      <c r="J42" s="514"/>
    </row>
    <row r="61" ht="12.75" customHeight="1"/>
    <row r="62" ht="12.75" customHeight="1"/>
  </sheetData>
  <mergeCells count="31">
    <mergeCell ref="D16:D18"/>
    <mergeCell ref="A19:F19"/>
    <mergeCell ref="D20:D21"/>
    <mergeCell ref="A22:F22"/>
    <mergeCell ref="A8:J8"/>
    <mergeCell ref="A2:J2"/>
    <mergeCell ref="A3:J3"/>
    <mergeCell ref="A4:J4"/>
    <mergeCell ref="A5:J5"/>
    <mergeCell ref="A7:J7"/>
    <mergeCell ref="A32:J32"/>
    <mergeCell ref="A33:J33"/>
    <mergeCell ref="A27:J27"/>
    <mergeCell ref="O14:P14"/>
    <mergeCell ref="A9:J9"/>
    <mergeCell ref="A10:J10"/>
    <mergeCell ref="A11:J11"/>
    <mergeCell ref="A12:J12"/>
    <mergeCell ref="A13:J13"/>
    <mergeCell ref="A14:J14"/>
    <mergeCell ref="A26:F26"/>
    <mergeCell ref="A28:J28"/>
    <mergeCell ref="A29:J29"/>
    <mergeCell ref="A30:J30"/>
    <mergeCell ref="A31:J31"/>
    <mergeCell ref="A25:F25"/>
    <mergeCell ref="A34:J34"/>
    <mergeCell ref="A35:J35"/>
    <mergeCell ref="A36:J36"/>
    <mergeCell ref="A38:J38"/>
    <mergeCell ref="A42:J42"/>
  </mergeCells>
  <pageMargins left="0.51181102362204722" right="0.51181102362204722" top="0.78740157480314965" bottom="0.78740157480314965" header="0.31496062992125984" footer="0.31496062992125984"/>
  <pageSetup paperSize="9" scale="43" fitToHeight="0" orientation="portrait"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LO132"/>
  <sheetViews>
    <sheetView showGridLines="0" topLeftCell="A52" zoomScale="115" zoomScaleNormal="115" workbookViewId="0">
      <selection activeCell="B46" sqref="B46:G46"/>
    </sheetView>
  </sheetViews>
  <sheetFormatPr defaultColWidth="9.140625" defaultRowHeight="15" customHeight="1"/>
  <cols>
    <col min="1" max="1" width="3.28515625" style="177" bestFit="1" customWidth="1"/>
    <col min="2" max="2" width="11.42578125" style="177" customWidth="1"/>
    <col min="3" max="3" width="17.85546875" style="177" customWidth="1"/>
    <col min="4" max="4" width="8.85546875" style="177" customWidth="1"/>
    <col min="5" max="5" width="5.42578125" style="177" customWidth="1"/>
    <col min="6" max="6" width="6.7109375" style="177" customWidth="1"/>
    <col min="7" max="7" width="7.140625" style="177" customWidth="1"/>
    <col min="8" max="8" width="8.5703125" style="180" bestFit="1" customWidth="1"/>
    <col min="9" max="9" width="13.140625" style="178" customWidth="1"/>
    <col min="10" max="10" width="5" style="199" customWidth="1"/>
    <col min="11" max="11" width="14.85546875" style="178" customWidth="1"/>
    <col min="12" max="12" width="8.140625" style="199" customWidth="1"/>
    <col min="13" max="13" width="14.85546875" style="178" customWidth="1"/>
    <col min="14" max="1003" width="11.42578125" style="177" customWidth="1"/>
    <col min="1004" max="1004" width="9.140625" style="225" customWidth="1"/>
    <col min="1005" max="16384" width="9.140625" style="225"/>
  </cols>
  <sheetData>
    <row r="1" spans="1:13" s="177" customFormat="1" ht="30.75" customHeight="1">
      <c r="A1" s="658" t="s">
        <v>56</v>
      </c>
      <c r="B1" s="659"/>
      <c r="C1" s="659"/>
      <c r="D1" s="659"/>
      <c r="E1" s="659"/>
      <c r="F1" s="659"/>
      <c r="G1" s="659"/>
      <c r="H1" s="660"/>
      <c r="I1" s="547" t="s">
        <v>350</v>
      </c>
      <c r="J1" s="548"/>
      <c r="K1" s="548"/>
      <c r="L1" s="548"/>
      <c r="M1" s="549"/>
    </row>
    <row r="2" spans="1:13" s="177" customFormat="1" ht="27.6" customHeight="1">
      <c r="A2" s="661"/>
      <c r="B2" s="662"/>
      <c r="C2" s="662"/>
      <c r="D2" s="662"/>
      <c r="E2" s="662"/>
      <c r="F2" s="662"/>
      <c r="G2" s="662"/>
      <c r="H2" s="663"/>
      <c r="I2" s="332" t="s">
        <v>351</v>
      </c>
      <c r="J2" s="234"/>
      <c r="K2" s="333" t="s">
        <v>352</v>
      </c>
      <c r="L2" s="234"/>
      <c r="M2" s="334" t="s">
        <v>392</v>
      </c>
    </row>
    <row r="3" spans="1:13" s="177" customFormat="1" ht="20.100000000000001" customHeight="1">
      <c r="A3" s="546" t="s">
        <v>57</v>
      </c>
      <c r="B3" s="546"/>
      <c r="C3" s="546"/>
      <c r="D3" s="546"/>
      <c r="E3" s="546"/>
      <c r="F3" s="546"/>
      <c r="G3" s="546"/>
      <c r="H3" s="546"/>
      <c r="I3" s="546"/>
      <c r="J3" s="546"/>
      <c r="K3" s="546"/>
      <c r="L3" s="546"/>
      <c r="M3" s="546"/>
    </row>
    <row r="4" spans="1:13" s="177" customFormat="1" ht="20.100000000000001" customHeight="1">
      <c r="A4" s="335" t="s">
        <v>58</v>
      </c>
      <c r="B4" s="630" t="s">
        <v>59</v>
      </c>
      <c r="C4" s="630"/>
      <c r="D4" s="630"/>
      <c r="E4" s="630"/>
      <c r="F4" s="630"/>
      <c r="G4" s="630"/>
      <c r="H4" s="630"/>
      <c r="I4" s="551"/>
      <c r="J4" s="552"/>
      <c r="K4" s="552"/>
      <c r="L4" s="552"/>
      <c r="M4" s="553"/>
    </row>
    <row r="5" spans="1:13" s="177" customFormat="1" ht="20.100000000000001" customHeight="1">
      <c r="A5" s="235" t="s">
        <v>60</v>
      </c>
      <c r="B5" s="590" t="s">
        <v>61</v>
      </c>
      <c r="C5" s="590"/>
      <c r="D5" s="590"/>
      <c r="E5" s="590"/>
      <c r="F5" s="590"/>
      <c r="G5" s="590"/>
      <c r="H5" s="590"/>
      <c r="I5" s="550" t="s">
        <v>62</v>
      </c>
      <c r="J5" s="550"/>
      <c r="K5" s="550"/>
      <c r="L5" s="550"/>
      <c r="M5" s="550"/>
    </row>
    <row r="6" spans="1:13" s="177" customFormat="1" ht="20.100000000000001" customHeight="1">
      <c r="A6" s="235" t="s">
        <v>63</v>
      </c>
      <c r="B6" s="590" t="s">
        <v>64</v>
      </c>
      <c r="C6" s="590"/>
      <c r="D6" s="590"/>
      <c r="E6" s="590"/>
      <c r="F6" s="590"/>
      <c r="G6" s="590"/>
      <c r="H6" s="590"/>
      <c r="I6" s="554"/>
      <c r="J6" s="554"/>
      <c r="K6" s="554"/>
      <c r="L6" s="554"/>
      <c r="M6" s="554"/>
    </row>
    <row r="7" spans="1:13" s="177" customFormat="1" ht="20.100000000000001" customHeight="1">
      <c r="A7" s="235" t="s">
        <v>65</v>
      </c>
      <c r="B7" s="590" t="s">
        <v>66</v>
      </c>
      <c r="C7" s="590"/>
      <c r="D7" s="590"/>
      <c r="E7" s="590"/>
      <c r="F7" s="590"/>
      <c r="G7" s="590"/>
      <c r="H7" s="590"/>
      <c r="I7" s="554" t="s">
        <v>67</v>
      </c>
      <c r="J7" s="554"/>
      <c r="K7" s="554"/>
      <c r="L7" s="554"/>
      <c r="M7" s="554"/>
    </row>
    <row r="8" spans="1:13" s="177" customFormat="1" ht="34.9" customHeight="1">
      <c r="A8" s="555" t="s">
        <v>68</v>
      </c>
      <c r="B8" s="555"/>
      <c r="C8" s="555"/>
      <c r="D8" s="555"/>
      <c r="E8" s="555"/>
      <c r="F8" s="555"/>
      <c r="G8" s="555"/>
      <c r="H8" s="555"/>
      <c r="I8" s="556"/>
      <c r="J8" s="556"/>
      <c r="K8" s="556"/>
      <c r="L8" s="556"/>
      <c r="M8" s="556"/>
    </row>
    <row r="9" spans="1:13" s="177" customFormat="1" ht="39" customHeight="1">
      <c r="A9" s="631" t="s">
        <v>69</v>
      </c>
      <c r="B9" s="631"/>
      <c r="C9" s="631"/>
      <c r="D9" s="631"/>
      <c r="E9" s="631"/>
      <c r="F9" s="631"/>
      <c r="G9" s="632" t="s">
        <v>70</v>
      </c>
      <c r="H9" s="633"/>
      <c r="I9" s="545" t="s">
        <v>71</v>
      </c>
      <c r="J9" s="545"/>
      <c r="K9" s="545"/>
      <c r="L9" s="545"/>
      <c r="M9" s="545"/>
    </row>
    <row r="10" spans="1:13" s="177" customFormat="1" ht="20.100000000000001" customHeight="1">
      <c r="A10" s="555" t="s">
        <v>454</v>
      </c>
      <c r="B10" s="555"/>
      <c r="C10" s="555"/>
      <c r="D10" s="555"/>
      <c r="E10" s="555"/>
      <c r="F10" s="555"/>
      <c r="G10" s="555" t="s">
        <v>52</v>
      </c>
      <c r="H10" s="555"/>
      <c r="I10" s="387">
        <v>2</v>
      </c>
      <c r="J10" s="388"/>
      <c r="K10" s="389">
        <v>2</v>
      </c>
      <c r="L10" s="388"/>
      <c r="M10" s="390">
        <v>1</v>
      </c>
    </row>
    <row r="11" spans="1:13" s="177" customFormat="1" ht="20.100000000000001" customHeight="1">
      <c r="A11" s="557" t="s">
        <v>72</v>
      </c>
      <c r="B11" s="557"/>
      <c r="C11" s="557"/>
      <c r="D11" s="557"/>
      <c r="E11" s="557"/>
      <c r="F11" s="557"/>
      <c r="G11" s="557"/>
      <c r="H11" s="557"/>
      <c r="I11" s="557"/>
      <c r="J11" s="557"/>
      <c r="K11" s="557"/>
      <c r="L11" s="557"/>
      <c r="M11" s="557"/>
    </row>
    <row r="12" spans="1:13" s="177" customFormat="1" ht="20.100000000000001" customHeight="1">
      <c r="A12" s="235">
        <v>1</v>
      </c>
      <c r="B12" s="590" t="s">
        <v>73</v>
      </c>
      <c r="C12" s="590"/>
      <c r="D12" s="590"/>
      <c r="E12" s="590"/>
      <c r="F12" s="590"/>
      <c r="G12" s="590"/>
      <c r="H12" s="590"/>
      <c r="I12" s="558" t="s">
        <v>455</v>
      </c>
      <c r="J12" s="558"/>
      <c r="K12" s="558"/>
      <c r="L12" s="558"/>
      <c r="M12" s="558"/>
    </row>
    <row r="13" spans="1:13" s="177" customFormat="1" ht="20.100000000000001" customHeight="1">
      <c r="A13" s="235">
        <v>2</v>
      </c>
      <c r="B13" s="590" t="s">
        <v>74</v>
      </c>
      <c r="C13" s="590"/>
      <c r="D13" s="590"/>
      <c r="E13" s="590"/>
      <c r="F13" s="590"/>
      <c r="G13" s="590"/>
      <c r="H13" s="590"/>
      <c r="I13" s="559" t="s">
        <v>353</v>
      </c>
      <c r="J13" s="559"/>
      <c r="K13" s="559"/>
      <c r="L13" s="559"/>
      <c r="M13" s="559"/>
    </row>
    <row r="14" spans="1:13" s="177" customFormat="1" ht="20.100000000000001" customHeight="1">
      <c r="A14" s="235">
        <v>3</v>
      </c>
      <c r="B14" s="606" t="s">
        <v>75</v>
      </c>
      <c r="C14" s="606"/>
      <c r="D14" s="606"/>
      <c r="E14" s="606"/>
      <c r="F14" s="606"/>
      <c r="G14" s="606"/>
      <c r="H14" s="606"/>
      <c r="I14" s="560">
        <v>1695.43</v>
      </c>
      <c r="J14" s="560"/>
      <c r="K14" s="560"/>
      <c r="L14" s="560"/>
      <c r="M14" s="560"/>
    </row>
    <row r="15" spans="1:13" s="177" customFormat="1" ht="20.100000000000001" customHeight="1">
      <c r="A15" s="235">
        <v>4</v>
      </c>
      <c r="B15" s="590" t="s">
        <v>76</v>
      </c>
      <c r="C15" s="590"/>
      <c r="D15" s="590"/>
      <c r="E15" s="590"/>
      <c r="F15" s="590"/>
      <c r="G15" s="590"/>
      <c r="H15" s="590"/>
      <c r="I15" s="561" t="s">
        <v>354</v>
      </c>
      <c r="J15" s="561"/>
      <c r="K15" s="561"/>
      <c r="L15" s="561"/>
      <c r="M15" s="561"/>
    </row>
    <row r="16" spans="1:13" s="177" customFormat="1" ht="20.100000000000001" customHeight="1">
      <c r="A16" s="235">
        <v>5</v>
      </c>
      <c r="B16" s="590" t="s">
        <v>77</v>
      </c>
      <c r="C16" s="590"/>
      <c r="D16" s="590"/>
      <c r="E16" s="590"/>
      <c r="F16" s="590"/>
      <c r="G16" s="590"/>
      <c r="H16" s="590"/>
      <c r="I16" s="561">
        <v>45352</v>
      </c>
      <c r="J16" s="561"/>
      <c r="K16" s="561"/>
      <c r="L16" s="561"/>
      <c r="M16" s="561"/>
    </row>
    <row r="17" spans="1:13" s="177" customFormat="1" ht="20.100000000000001" customHeight="1">
      <c r="A17" s="235">
        <v>6</v>
      </c>
      <c r="B17" s="668" t="s">
        <v>78</v>
      </c>
      <c r="C17" s="668"/>
      <c r="D17" s="668"/>
      <c r="E17" s="668"/>
      <c r="F17" s="668"/>
      <c r="G17" s="668"/>
      <c r="H17" s="668"/>
      <c r="I17" s="559">
        <v>1412</v>
      </c>
      <c r="J17" s="559"/>
      <c r="K17" s="559"/>
      <c r="L17" s="559"/>
      <c r="M17" s="559"/>
    </row>
    <row r="18" spans="1:13" s="177" customFormat="1" ht="20.100000000000001" customHeight="1">
      <c r="A18" s="235">
        <v>7</v>
      </c>
      <c r="B18" s="606" t="s">
        <v>456</v>
      </c>
      <c r="C18" s="606"/>
      <c r="D18" s="606"/>
      <c r="E18" s="606"/>
      <c r="F18" s="606"/>
      <c r="G18" s="606"/>
      <c r="H18" s="606"/>
      <c r="I18" s="670">
        <f>365/12/2</f>
        <v>15.208333333333334</v>
      </c>
      <c r="J18" s="670"/>
      <c r="K18" s="670"/>
      <c r="L18" s="540">
        <v>21</v>
      </c>
      <c r="M18" s="541"/>
    </row>
    <row r="19" spans="1:13" s="177" customFormat="1" ht="19.899999999999999" customHeight="1">
      <c r="A19" s="540"/>
      <c r="B19" s="669"/>
      <c r="C19" s="669"/>
      <c r="D19" s="669"/>
      <c r="E19" s="669"/>
      <c r="F19" s="669"/>
      <c r="G19" s="669"/>
      <c r="H19" s="669"/>
      <c r="I19" s="669"/>
      <c r="J19" s="669"/>
      <c r="K19" s="669"/>
      <c r="L19" s="669"/>
      <c r="M19" s="669"/>
    </row>
    <row r="20" spans="1:13" s="177" customFormat="1" ht="25.9" customHeight="1">
      <c r="A20" s="556" t="s">
        <v>80</v>
      </c>
      <c r="B20" s="556"/>
      <c r="C20" s="556"/>
      <c r="D20" s="556"/>
      <c r="E20" s="556"/>
      <c r="F20" s="556"/>
      <c r="G20" s="556"/>
      <c r="H20" s="556"/>
      <c r="I20" s="407" t="s">
        <v>355</v>
      </c>
      <c r="J20" s="408"/>
      <c r="K20" s="409" t="s">
        <v>356</v>
      </c>
      <c r="L20" s="408"/>
      <c r="M20" s="410" t="s">
        <v>392</v>
      </c>
    </row>
    <row r="21" spans="1:13" s="177" customFormat="1" ht="20.100000000000001" customHeight="1">
      <c r="A21" s="562" t="s">
        <v>81</v>
      </c>
      <c r="B21" s="562"/>
      <c r="C21" s="562"/>
      <c r="D21" s="562"/>
      <c r="E21" s="562"/>
      <c r="F21" s="562"/>
      <c r="G21" s="562"/>
      <c r="H21" s="562"/>
      <c r="I21" s="562"/>
      <c r="J21" s="562"/>
      <c r="K21" s="562"/>
      <c r="L21" s="562"/>
      <c r="M21" s="562"/>
    </row>
    <row r="22" spans="1:13" s="177" customFormat="1" ht="19.149999999999999" customHeight="1">
      <c r="A22" s="391">
        <v>1</v>
      </c>
      <c r="B22" s="562" t="s">
        <v>82</v>
      </c>
      <c r="C22" s="562"/>
      <c r="D22" s="562"/>
      <c r="E22" s="562"/>
      <c r="F22" s="562"/>
      <c r="G22" s="562"/>
      <c r="H22" s="360" t="s">
        <v>83</v>
      </c>
      <c r="I22" s="360" t="s">
        <v>84</v>
      </c>
      <c r="J22" s="587"/>
      <c r="K22" s="360" t="s">
        <v>84</v>
      </c>
      <c r="L22" s="587"/>
      <c r="M22" s="360" t="s">
        <v>84</v>
      </c>
    </row>
    <row r="23" spans="1:13" s="177" customFormat="1" ht="20.45" customHeight="1">
      <c r="A23" s="392" t="s">
        <v>58</v>
      </c>
      <c r="B23" s="620" t="s">
        <v>401</v>
      </c>
      <c r="C23" s="620"/>
      <c r="D23" s="620"/>
      <c r="E23" s="620"/>
      <c r="F23" s="620"/>
      <c r="G23" s="620"/>
      <c r="H23" s="620"/>
      <c r="I23" s="393">
        <f>I14</f>
        <v>1695.43</v>
      </c>
      <c r="J23" s="587"/>
      <c r="K23" s="393">
        <f>I14</f>
        <v>1695.43</v>
      </c>
      <c r="L23" s="587"/>
      <c r="M23" s="393">
        <f>I14</f>
        <v>1695.43</v>
      </c>
    </row>
    <row r="24" spans="1:13" s="177" customFormat="1" ht="20.45" customHeight="1">
      <c r="A24" s="392" t="s">
        <v>60</v>
      </c>
      <c r="B24" s="563" t="s">
        <v>400</v>
      </c>
      <c r="C24" s="563"/>
      <c r="D24" s="563"/>
      <c r="E24" s="563"/>
      <c r="F24" s="392">
        <v>8</v>
      </c>
      <c r="G24" s="392">
        <v>1.93</v>
      </c>
      <c r="H24" s="443">
        <v>15.21</v>
      </c>
      <c r="I24" s="393"/>
      <c r="J24" s="587"/>
      <c r="K24" s="393">
        <f>F24*G24*H24</f>
        <v>234.8424</v>
      </c>
      <c r="L24" s="587"/>
      <c r="M24" s="393"/>
    </row>
    <row r="25" spans="1:13" s="177" customFormat="1" ht="20.45" customHeight="1">
      <c r="A25" s="392" t="s">
        <v>63</v>
      </c>
      <c r="B25" s="624" t="s">
        <v>86</v>
      </c>
      <c r="C25" s="624"/>
      <c r="D25" s="624"/>
      <c r="E25" s="624"/>
      <c r="F25" s="624"/>
      <c r="G25" s="624"/>
      <c r="H25" s="394"/>
      <c r="I25" s="393"/>
      <c r="J25" s="587"/>
      <c r="K25" s="393"/>
      <c r="L25" s="587"/>
      <c r="M25" s="393"/>
    </row>
    <row r="26" spans="1:13" s="177" customFormat="1" ht="20.45" customHeight="1">
      <c r="A26" s="542" t="s">
        <v>55</v>
      </c>
      <c r="B26" s="542"/>
      <c r="C26" s="542"/>
      <c r="D26" s="542"/>
      <c r="E26" s="542"/>
      <c r="F26" s="542"/>
      <c r="G26" s="542"/>
      <c r="H26" s="542"/>
      <c r="I26" s="393">
        <f>SUM(I23:I25)</f>
        <v>1695.43</v>
      </c>
      <c r="J26" s="587"/>
      <c r="K26" s="393">
        <f>SUM(K23:K25)</f>
        <v>1930.2724000000001</v>
      </c>
      <c r="L26" s="587"/>
      <c r="M26" s="393">
        <f>SUM(M23:M25)</f>
        <v>1695.43</v>
      </c>
    </row>
    <row r="27" spans="1:13" s="177" customFormat="1" ht="20.45" customHeight="1">
      <c r="A27" s="392" t="s">
        <v>65</v>
      </c>
      <c r="B27" s="624" t="s">
        <v>85</v>
      </c>
      <c r="C27" s="624"/>
      <c r="D27" s="624"/>
      <c r="E27" s="624"/>
      <c r="F27" s="624"/>
      <c r="G27" s="624"/>
      <c r="H27" s="395">
        <v>0.3</v>
      </c>
      <c r="I27" s="396">
        <f>TRUNC(I26*$H$27,2)</f>
        <v>508.62</v>
      </c>
      <c r="J27" s="587"/>
      <c r="K27" s="396">
        <f>TRUNC((K26)*H27,2)</f>
        <v>579.08000000000004</v>
      </c>
      <c r="L27" s="587"/>
      <c r="M27" s="396">
        <f>TRUNC((M26)*H27,2)</f>
        <v>508.62</v>
      </c>
    </row>
    <row r="28" spans="1:13" s="177" customFormat="1" ht="20.100000000000001" customHeight="1">
      <c r="A28" s="608" t="s">
        <v>87</v>
      </c>
      <c r="B28" s="608"/>
      <c r="C28" s="608"/>
      <c r="D28" s="608"/>
      <c r="E28" s="608"/>
      <c r="F28" s="608"/>
      <c r="G28" s="608"/>
      <c r="H28" s="608"/>
      <c r="I28" s="397">
        <f>TRUNC(SUM(I26:I27),2)</f>
        <v>2204.0500000000002</v>
      </c>
      <c r="J28" s="587"/>
      <c r="K28" s="397">
        <f>TRUNC(SUM(K26:K27),2)</f>
        <v>2509.35</v>
      </c>
      <c r="L28" s="587"/>
      <c r="M28" s="397">
        <f>TRUNC(SUM(M26:M27),2)</f>
        <v>2204.0500000000002</v>
      </c>
    </row>
    <row r="29" spans="1:13" s="177" customFormat="1" ht="20.100000000000001" customHeight="1">
      <c r="A29" s="543" t="s">
        <v>88</v>
      </c>
      <c r="B29" s="543"/>
      <c r="C29" s="543"/>
      <c r="D29" s="543"/>
      <c r="E29" s="543"/>
      <c r="F29" s="543"/>
      <c r="G29" s="543"/>
      <c r="H29" s="543"/>
      <c r="I29" s="543"/>
      <c r="J29" s="543"/>
      <c r="K29" s="543"/>
      <c r="L29" s="543"/>
      <c r="M29" s="543"/>
    </row>
    <row r="30" spans="1:13" s="177" customFormat="1" ht="25.15" customHeight="1">
      <c r="A30" s="544" t="s">
        <v>89</v>
      </c>
      <c r="B30" s="544"/>
      <c r="C30" s="544"/>
      <c r="D30" s="544"/>
      <c r="E30" s="544"/>
      <c r="F30" s="544"/>
      <c r="G30" s="544"/>
      <c r="H30" s="544"/>
      <c r="I30" s="544"/>
      <c r="J30" s="544"/>
      <c r="K30" s="544"/>
      <c r="L30" s="544"/>
      <c r="M30" s="544"/>
    </row>
    <row r="31" spans="1:13" s="177" customFormat="1" ht="21" customHeight="1">
      <c r="A31" s="401" t="s">
        <v>90</v>
      </c>
      <c r="B31" s="609" t="s">
        <v>91</v>
      </c>
      <c r="C31" s="609"/>
      <c r="D31" s="609"/>
      <c r="E31" s="609"/>
      <c r="F31" s="609"/>
      <c r="G31" s="609"/>
      <c r="H31" s="402" t="s">
        <v>83</v>
      </c>
      <c r="I31" s="360" t="s">
        <v>84</v>
      </c>
      <c r="J31" s="403"/>
      <c r="K31" s="360" t="s">
        <v>84</v>
      </c>
      <c r="L31" s="403"/>
      <c r="M31" s="360" t="s">
        <v>84</v>
      </c>
    </row>
    <row r="32" spans="1:13" s="177" customFormat="1" ht="18" customHeight="1">
      <c r="A32" s="335" t="s">
        <v>58</v>
      </c>
      <c r="B32" s="673" t="s">
        <v>393</v>
      </c>
      <c r="C32" s="673"/>
      <c r="D32" s="673"/>
      <c r="E32" s="673"/>
      <c r="F32" s="673"/>
      <c r="G32" s="673"/>
      <c r="H32" s="398">
        <f>1/12</f>
        <v>8.3333333333333329E-2</v>
      </c>
      <c r="I32" s="399">
        <f>TRUNC($I$28*H32,2)</f>
        <v>183.67</v>
      </c>
      <c r="J32" s="270"/>
      <c r="K32" s="318">
        <f>TRUNC($K$28*H32,2)</f>
        <v>209.11</v>
      </c>
      <c r="L32" s="270"/>
      <c r="M32" s="400">
        <f>TRUNC($M$28*H32,2)</f>
        <v>183.67</v>
      </c>
    </row>
    <row r="33" spans="1:13" ht="37.5" customHeight="1">
      <c r="A33" s="235" t="s">
        <v>60</v>
      </c>
      <c r="B33" s="674" t="s">
        <v>394</v>
      </c>
      <c r="C33" s="675"/>
      <c r="D33" s="675"/>
      <c r="E33" s="675"/>
      <c r="F33" s="675"/>
      <c r="G33" s="676"/>
      <c r="H33" s="255">
        <v>0.1118</v>
      </c>
      <c r="I33" s="253">
        <f>TRUNC(H33*I28,2)</f>
        <v>246.41</v>
      </c>
      <c r="J33" s="270"/>
      <c r="K33" s="300">
        <f>TRUNC(H33*K28,2)</f>
        <v>280.54000000000002</v>
      </c>
      <c r="L33" s="270"/>
      <c r="M33" s="254">
        <f>TRUNC(H33*M28,2)</f>
        <v>246.41</v>
      </c>
    </row>
    <row r="34" spans="1:13" ht="25.15" customHeight="1" thickBot="1">
      <c r="A34" s="677" t="s">
        <v>92</v>
      </c>
      <c r="B34" s="677"/>
      <c r="C34" s="677"/>
      <c r="D34" s="677"/>
      <c r="E34" s="677"/>
      <c r="F34" s="677"/>
      <c r="G34" s="678"/>
      <c r="H34" s="256">
        <f>SUM(H32:H33)</f>
        <v>0.19513333333333333</v>
      </c>
      <c r="I34" s="257">
        <f>SUM(I32:I33)</f>
        <v>430.08</v>
      </c>
      <c r="J34" s="270"/>
      <c r="K34" s="301">
        <f>SUM(K32:K33)</f>
        <v>489.65000000000003</v>
      </c>
      <c r="L34" s="270"/>
      <c r="M34" s="258">
        <f>SUM(M32:M33)</f>
        <v>430.08</v>
      </c>
    </row>
    <row r="35" spans="1:13" ht="25.15" customHeight="1" thickTop="1" thickBot="1">
      <c r="A35" s="671" t="s">
        <v>93</v>
      </c>
      <c r="B35" s="671"/>
      <c r="C35" s="671"/>
      <c r="D35" s="671"/>
      <c r="E35" s="671"/>
      <c r="F35" s="671"/>
      <c r="G35" s="583" t="s">
        <v>94</v>
      </c>
      <c r="H35" s="584"/>
      <c r="I35" s="302">
        <f>I28</f>
        <v>2204.0500000000002</v>
      </c>
      <c r="J35" s="303"/>
      <c r="K35" s="304">
        <f>K28</f>
        <v>2509.35</v>
      </c>
      <c r="L35" s="303"/>
      <c r="M35" s="305">
        <f>M28</f>
        <v>2204.0500000000002</v>
      </c>
    </row>
    <row r="36" spans="1:13" ht="25.15" customHeight="1" thickTop="1" thickBot="1">
      <c r="A36" s="671"/>
      <c r="B36" s="671"/>
      <c r="C36" s="671"/>
      <c r="D36" s="671"/>
      <c r="E36" s="671"/>
      <c r="F36" s="671"/>
      <c r="G36" s="583" t="s">
        <v>95</v>
      </c>
      <c r="H36" s="584"/>
      <c r="I36" s="302">
        <f>I34</f>
        <v>430.08</v>
      </c>
      <c r="J36" s="303"/>
      <c r="K36" s="304">
        <f>K34</f>
        <v>489.65000000000003</v>
      </c>
      <c r="L36" s="303"/>
      <c r="M36" s="305">
        <f>M34</f>
        <v>430.08</v>
      </c>
    </row>
    <row r="37" spans="1:13" ht="25.15" customHeight="1" thickTop="1">
      <c r="A37" s="672"/>
      <c r="B37" s="672"/>
      <c r="C37" s="672"/>
      <c r="D37" s="672"/>
      <c r="E37" s="672"/>
      <c r="F37" s="672"/>
      <c r="G37" s="580" t="s">
        <v>92</v>
      </c>
      <c r="H37" s="582"/>
      <c r="I37" s="317">
        <f>SUM(I35:I36)</f>
        <v>2634.13</v>
      </c>
      <c r="J37" s="303"/>
      <c r="K37" s="404">
        <f>SUM(K35:K36)</f>
        <v>2999</v>
      </c>
      <c r="L37" s="303"/>
      <c r="M37" s="405">
        <f>SUM(M35:M36)</f>
        <v>2634.13</v>
      </c>
    </row>
    <row r="38" spans="1:13" ht="19.5" customHeight="1">
      <c r="A38" s="564" t="s">
        <v>408</v>
      </c>
      <c r="B38" s="564"/>
      <c r="C38" s="564"/>
      <c r="D38" s="564"/>
      <c r="E38" s="564"/>
      <c r="F38" s="564"/>
      <c r="G38" s="564"/>
      <c r="H38" s="564"/>
      <c r="I38" s="564"/>
      <c r="J38" s="564"/>
      <c r="K38" s="564"/>
      <c r="L38" s="564"/>
      <c r="M38" s="564"/>
    </row>
    <row r="39" spans="1:13" ht="20.100000000000001" customHeight="1">
      <c r="A39" s="326" t="s">
        <v>96</v>
      </c>
      <c r="B39" s="610" t="s">
        <v>97</v>
      </c>
      <c r="C39" s="610"/>
      <c r="D39" s="610"/>
      <c r="E39" s="610"/>
      <c r="F39" s="610"/>
      <c r="G39" s="610"/>
      <c r="H39" s="327" t="s">
        <v>83</v>
      </c>
      <c r="I39" s="327" t="s">
        <v>84</v>
      </c>
      <c r="J39" s="619"/>
      <c r="K39" s="327" t="s">
        <v>84</v>
      </c>
      <c r="L39" s="619"/>
      <c r="M39" s="327" t="s">
        <v>84</v>
      </c>
    </row>
    <row r="40" spans="1:13" ht="20.100000000000001" customHeight="1">
      <c r="A40" s="235" t="s">
        <v>58</v>
      </c>
      <c r="B40" s="590" t="s">
        <v>98</v>
      </c>
      <c r="C40" s="590"/>
      <c r="D40" s="590"/>
      <c r="E40" s="590"/>
      <c r="F40" s="590"/>
      <c r="G40" s="590"/>
      <c r="H40" s="464">
        <v>0.2</v>
      </c>
      <c r="I40" s="259">
        <f>TRUNC($I$37*H40,2)</f>
        <v>526.82000000000005</v>
      </c>
      <c r="J40" s="619"/>
      <c r="K40" s="259">
        <f>TRUNC($K$37*H40,2)</f>
        <v>599.79999999999995</v>
      </c>
      <c r="L40" s="619"/>
      <c r="M40" s="259">
        <f>TRUNC($M$37*H40,2)</f>
        <v>526.82000000000005</v>
      </c>
    </row>
    <row r="41" spans="1:13" ht="22.15" customHeight="1">
      <c r="A41" s="235" t="s">
        <v>60</v>
      </c>
      <c r="B41" s="590" t="s">
        <v>99</v>
      </c>
      <c r="C41" s="590"/>
      <c r="D41" s="590"/>
      <c r="E41" s="590"/>
      <c r="F41" s="590"/>
      <c r="G41" s="590"/>
      <c r="H41" s="463">
        <v>2.5000000000000001E-2</v>
      </c>
      <c r="I41" s="259">
        <f t="shared" ref="I41:I47" si="0">TRUNC($I$37*H41,2)</f>
        <v>65.849999999999994</v>
      </c>
      <c r="J41" s="619"/>
      <c r="K41" s="259">
        <f t="shared" ref="K41:K47" si="1">TRUNC($K$37*H41,2)</f>
        <v>74.97</v>
      </c>
      <c r="L41" s="619"/>
      <c r="M41" s="259">
        <f t="shared" ref="M41:M47" si="2">TRUNC($M$37*H41,2)</f>
        <v>65.849999999999994</v>
      </c>
    </row>
    <row r="42" spans="1:13" ht="21.75" customHeight="1">
      <c r="A42" s="235" t="s">
        <v>63</v>
      </c>
      <c r="B42" s="565" t="s">
        <v>447</v>
      </c>
      <c r="C42" s="566"/>
      <c r="D42" s="309" t="s">
        <v>445</v>
      </c>
      <c r="E42" s="440">
        <v>0</v>
      </c>
      <c r="F42" s="309" t="s">
        <v>446</v>
      </c>
      <c r="G42" s="440">
        <v>0</v>
      </c>
      <c r="H42" s="800">
        <f>E42*G42/100</f>
        <v>0</v>
      </c>
      <c r="I42" s="259">
        <f t="shared" si="0"/>
        <v>0</v>
      </c>
      <c r="J42" s="619"/>
      <c r="K42" s="259">
        <f t="shared" si="1"/>
        <v>0</v>
      </c>
      <c r="L42" s="619"/>
      <c r="M42" s="259">
        <f t="shared" si="2"/>
        <v>0</v>
      </c>
    </row>
    <row r="43" spans="1:13" ht="20.100000000000001" customHeight="1">
      <c r="A43" s="235" t="s">
        <v>65</v>
      </c>
      <c r="B43" s="590" t="s">
        <v>100</v>
      </c>
      <c r="C43" s="590"/>
      <c r="D43" s="590"/>
      <c r="E43" s="590"/>
      <c r="F43" s="590"/>
      <c r="G43" s="590"/>
      <c r="H43" s="463">
        <v>1.4999999999999999E-2</v>
      </c>
      <c r="I43" s="259">
        <f t="shared" si="0"/>
        <v>39.51</v>
      </c>
      <c r="J43" s="619"/>
      <c r="K43" s="259">
        <f t="shared" si="1"/>
        <v>44.98</v>
      </c>
      <c r="L43" s="619"/>
      <c r="M43" s="259">
        <f t="shared" si="2"/>
        <v>39.51</v>
      </c>
    </row>
    <row r="44" spans="1:13" ht="20.100000000000001" customHeight="1">
      <c r="A44" s="235" t="s">
        <v>49</v>
      </c>
      <c r="B44" s="590" t="s">
        <v>101</v>
      </c>
      <c r="C44" s="590"/>
      <c r="D44" s="590"/>
      <c r="E44" s="590"/>
      <c r="F44" s="590"/>
      <c r="G44" s="590"/>
      <c r="H44" s="463">
        <v>0.01</v>
      </c>
      <c r="I44" s="259">
        <f t="shared" si="0"/>
        <v>26.34</v>
      </c>
      <c r="J44" s="619"/>
      <c r="K44" s="259">
        <f t="shared" si="1"/>
        <v>29.99</v>
      </c>
      <c r="L44" s="619"/>
      <c r="M44" s="259">
        <f t="shared" si="2"/>
        <v>26.34</v>
      </c>
    </row>
    <row r="45" spans="1:13" ht="20.100000000000001" customHeight="1">
      <c r="A45" s="235" t="s">
        <v>102</v>
      </c>
      <c r="B45" s="590" t="s">
        <v>103</v>
      </c>
      <c r="C45" s="590"/>
      <c r="D45" s="590"/>
      <c r="E45" s="590"/>
      <c r="F45" s="590"/>
      <c r="G45" s="590"/>
      <c r="H45" s="463">
        <v>6.0000000000000001E-3</v>
      </c>
      <c r="I45" s="259">
        <f t="shared" si="0"/>
        <v>15.8</v>
      </c>
      <c r="J45" s="619"/>
      <c r="K45" s="259">
        <f t="shared" si="1"/>
        <v>17.989999999999998</v>
      </c>
      <c r="L45" s="619"/>
      <c r="M45" s="259">
        <f t="shared" si="2"/>
        <v>15.8</v>
      </c>
    </row>
    <row r="46" spans="1:13" ht="20.100000000000001" customHeight="1">
      <c r="A46" s="235" t="s">
        <v>104</v>
      </c>
      <c r="B46" s="590" t="s">
        <v>105</v>
      </c>
      <c r="C46" s="590"/>
      <c r="D46" s="590"/>
      <c r="E46" s="590"/>
      <c r="F46" s="590"/>
      <c r="G46" s="590"/>
      <c r="H46" s="463">
        <v>2E-3</v>
      </c>
      <c r="I46" s="259">
        <f t="shared" si="0"/>
        <v>5.26</v>
      </c>
      <c r="J46" s="619"/>
      <c r="K46" s="259">
        <f t="shared" si="1"/>
        <v>5.99</v>
      </c>
      <c r="L46" s="619"/>
      <c r="M46" s="259">
        <f t="shared" si="2"/>
        <v>5.26</v>
      </c>
    </row>
    <row r="47" spans="1:13" ht="20.100000000000001" customHeight="1">
      <c r="A47" s="235" t="s">
        <v>106</v>
      </c>
      <c r="B47" s="590" t="s">
        <v>107</v>
      </c>
      <c r="C47" s="590"/>
      <c r="D47" s="590"/>
      <c r="E47" s="590"/>
      <c r="F47" s="590"/>
      <c r="G47" s="590"/>
      <c r="H47" s="463">
        <v>0.08</v>
      </c>
      <c r="I47" s="259">
        <f t="shared" si="0"/>
        <v>210.73</v>
      </c>
      <c r="J47" s="619"/>
      <c r="K47" s="259">
        <f t="shared" si="1"/>
        <v>239.92</v>
      </c>
      <c r="L47" s="619"/>
      <c r="M47" s="259">
        <f t="shared" si="2"/>
        <v>210.73</v>
      </c>
    </row>
    <row r="48" spans="1:13" s="178" customFormat="1" ht="20.100000000000001" customHeight="1">
      <c r="A48" s="607" t="s">
        <v>92</v>
      </c>
      <c r="B48" s="607"/>
      <c r="C48" s="607"/>
      <c r="D48" s="607"/>
      <c r="E48" s="607"/>
      <c r="F48" s="607"/>
      <c r="G48" s="607"/>
      <c r="H48" s="465">
        <f>SUM(H40:H47)</f>
        <v>0.33800000000000002</v>
      </c>
      <c r="I48" s="319">
        <f>SUM(I40:I47)</f>
        <v>890.31000000000006</v>
      </c>
      <c r="J48" s="619"/>
      <c r="K48" s="319">
        <f>SUM(K40:K47)</f>
        <v>1013.64</v>
      </c>
      <c r="L48" s="619"/>
      <c r="M48" s="319">
        <f>SUM(M40:M47)</f>
        <v>890.31000000000006</v>
      </c>
    </row>
    <row r="49" spans="1:1003" ht="20.100000000000001" customHeight="1">
      <c r="A49" s="569" t="s">
        <v>108</v>
      </c>
      <c r="B49" s="570"/>
      <c r="C49" s="570"/>
      <c r="D49" s="570"/>
      <c r="E49" s="570"/>
      <c r="F49" s="570"/>
      <c r="G49" s="570"/>
      <c r="H49" s="570"/>
      <c r="I49" s="570"/>
      <c r="J49" s="571"/>
      <c r="K49" s="570"/>
      <c r="L49" s="570"/>
      <c r="M49" s="572"/>
    </row>
    <row r="50" spans="1:1003" s="176" customFormat="1" ht="22.15" customHeight="1">
      <c r="A50" s="326" t="s">
        <v>109</v>
      </c>
      <c r="B50" s="648" t="s">
        <v>110</v>
      </c>
      <c r="C50" s="648"/>
      <c r="D50" s="648"/>
      <c r="E50" s="648"/>
      <c r="F50" s="648"/>
      <c r="G50" s="648"/>
      <c r="H50" s="648"/>
      <c r="I50" s="297" t="s">
        <v>84</v>
      </c>
      <c r="J50" s="411"/>
      <c r="K50" s="299" t="s">
        <v>84</v>
      </c>
      <c r="L50" s="416"/>
      <c r="M50" s="298" t="s">
        <v>84</v>
      </c>
      <c r="N50" s="306"/>
      <c r="O50" s="306"/>
      <c r="P50" s="306"/>
      <c r="Q50" s="621"/>
      <c r="R50" s="621"/>
      <c r="S50" s="621"/>
      <c r="T50" s="621"/>
      <c r="U50" s="621"/>
      <c r="V50" s="621"/>
      <c r="W50" s="621"/>
      <c r="X50" s="621"/>
      <c r="Y50" s="621"/>
      <c r="Z50" s="621"/>
      <c r="AA50" s="621"/>
      <c r="AB50" s="621"/>
      <c r="AC50" s="621"/>
      <c r="AD50" s="621"/>
      <c r="AE50" s="621"/>
      <c r="AF50" s="621"/>
      <c r="AG50" s="621"/>
      <c r="AH50" s="621"/>
      <c r="AI50" s="621"/>
      <c r="AJ50" s="621"/>
      <c r="AK50" s="621"/>
      <c r="AL50" s="621"/>
      <c r="AM50" s="621"/>
      <c r="AN50" s="621"/>
      <c r="AO50" s="621"/>
      <c r="AP50" s="621"/>
      <c r="AQ50" s="621"/>
      <c r="AR50" s="621"/>
      <c r="AS50" s="621"/>
      <c r="AT50" s="621"/>
      <c r="AU50" s="621"/>
      <c r="AV50" s="621"/>
      <c r="AW50" s="621"/>
      <c r="AX50" s="621"/>
      <c r="AY50" s="621"/>
      <c r="AZ50" s="621"/>
      <c r="BA50" s="621"/>
      <c r="BB50" s="621"/>
      <c r="BC50" s="621"/>
      <c r="BD50" s="621"/>
      <c r="BE50" s="621"/>
      <c r="BF50" s="621"/>
      <c r="BG50" s="621"/>
      <c r="BH50" s="621"/>
      <c r="BI50" s="621"/>
      <c r="BJ50" s="621"/>
      <c r="BK50" s="621"/>
      <c r="BL50" s="621"/>
      <c r="BM50" s="621"/>
      <c r="BN50" s="621"/>
      <c r="BO50" s="621"/>
      <c r="BP50" s="621"/>
      <c r="BQ50" s="621"/>
      <c r="BR50" s="621"/>
      <c r="BS50" s="621"/>
      <c r="BT50" s="621"/>
      <c r="BU50" s="621"/>
      <c r="BV50" s="621"/>
      <c r="BW50" s="621"/>
      <c r="BX50" s="621"/>
      <c r="BY50" s="621"/>
      <c r="BZ50" s="621"/>
      <c r="CA50" s="621"/>
      <c r="CB50" s="621"/>
      <c r="CC50" s="621"/>
      <c r="CD50" s="621"/>
      <c r="CE50" s="621"/>
      <c r="CF50" s="621"/>
      <c r="CG50" s="621"/>
      <c r="CH50" s="621"/>
      <c r="CI50" s="621"/>
      <c r="CJ50" s="621"/>
      <c r="CK50" s="621"/>
      <c r="CL50" s="621"/>
      <c r="CM50" s="621"/>
      <c r="CN50" s="621"/>
      <c r="CO50" s="621"/>
      <c r="CP50" s="621"/>
      <c r="CQ50" s="621"/>
      <c r="CR50" s="621"/>
      <c r="CS50" s="621"/>
      <c r="CT50" s="621"/>
      <c r="CU50" s="621"/>
      <c r="CV50" s="621"/>
      <c r="CW50" s="621"/>
      <c r="CX50" s="621"/>
      <c r="CY50" s="621"/>
      <c r="CZ50" s="621"/>
      <c r="DA50" s="621"/>
      <c r="DB50" s="621"/>
      <c r="DC50" s="621"/>
      <c r="DD50" s="621"/>
      <c r="DE50" s="621"/>
      <c r="DF50" s="621"/>
      <c r="DG50" s="621"/>
      <c r="DH50" s="621"/>
      <c r="DI50" s="621"/>
      <c r="DJ50" s="621"/>
      <c r="DK50" s="621"/>
      <c r="DL50" s="621"/>
      <c r="DM50" s="621"/>
      <c r="DN50" s="621"/>
      <c r="DO50" s="621"/>
      <c r="DP50" s="621"/>
      <c r="DQ50" s="621"/>
      <c r="DR50" s="621"/>
      <c r="DS50" s="621"/>
      <c r="DT50" s="621"/>
      <c r="DU50" s="621"/>
      <c r="DV50" s="621"/>
      <c r="DW50" s="621"/>
      <c r="DX50" s="621"/>
      <c r="DY50" s="621"/>
      <c r="DZ50" s="621"/>
      <c r="EA50" s="621"/>
      <c r="EB50" s="621"/>
      <c r="EC50" s="621"/>
      <c r="ED50" s="621"/>
      <c r="EE50" s="621"/>
      <c r="EF50" s="621"/>
      <c r="EG50" s="621"/>
      <c r="EH50" s="621"/>
      <c r="EI50" s="621"/>
      <c r="EJ50" s="621"/>
      <c r="EK50" s="621"/>
      <c r="EL50" s="621"/>
      <c r="EM50" s="621"/>
      <c r="EN50" s="621"/>
      <c r="EO50" s="621"/>
      <c r="EP50" s="621"/>
      <c r="EQ50" s="621"/>
      <c r="ER50" s="621"/>
      <c r="ES50" s="621"/>
      <c r="ET50" s="621"/>
      <c r="EU50" s="621"/>
      <c r="EV50" s="621"/>
      <c r="EW50" s="621"/>
      <c r="EX50" s="621"/>
      <c r="EY50" s="621"/>
      <c r="EZ50" s="621"/>
      <c r="FA50" s="621"/>
      <c r="FB50" s="621"/>
      <c r="FC50" s="621"/>
      <c r="FD50" s="621"/>
      <c r="FE50" s="621"/>
      <c r="FF50" s="621"/>
      <c r="FG50" s="621"/>
      <c r="FH50" s="621"/>
      <c r="FI50" s="621"/>
      <c r="FJ50" s="621"/>
      <c r="FK50" s="621"/>
      <c r="FL50" s="621"/>
      <c r="FM50" s="621"/>
      <c r="FN50" s="621"/>
      <c r="FO50" s="621"/>
      <c r="FP50" s="621"/>
      <c r="FQ50" s="621"/>
      <c r="FR50" s="621"/>
      <c r="FS50" s="621"/>
      <c r="FT50" s="621"/>
      <c r="FU50" s="621"/>
      <c r="FV50" s="621"/>
      <c r="FW50" s="621"/>
      <c r="FX50" s="621"/>
      <c r="FY50" s="621"/>
      <c r="FZ50" s="621"/>
      <c r="GA50" s="621"/>
      <c r="GB50" s="621"/>
      <c r="GC50" s="621"/>
      <c r="GD50" s="621"/>
      <c r="GE50" s="621"/>
      <c r="GF50" s="621"/>
      <c r="GG50" s="621"/>
      <c r="GH50" s="621"/>
      <c r="GI50" s="621"/>
      <c r="GJ50" s="621"/>
    </row>
    <row r="51" spans="1:1003" s="177" customFormat="1" ht="22.9" customHeight="1">
      <c r="A51" s="235" t="s">
        <v>58</v>
      </c>
      <c r="B51" s="585" t="s">
        <v>402</v>
      </c>
      <c r="C51" s="585"/>
      <c r="D51" s="585"/>
      <c r="E51" s="585"/>
      <c r="F51" s="322">
        <v>15.21</v>
      </c>
      <c r="G51" s="263">
        <v>2</v>
      </c>
      <c r="H51" s="441">
        <v>4.5</v>
      </c>
      <c r="I51" s="328">
        <f>ROUND((G51*H51*F51)-(0.06*I23/2),2)</f>
        <v>86.03</v>
      </c>
      <c r="J51" s="412"/>
      <c r="K51" s="415">
        <f>ROUND((G51*H51*F51)-(0.06*K23/2),2)</f>
        <v>86.03</v>
      </c>
      <c r="L51" s="442">
        <v>21</v>
      </c>
      <c r="M51" s="329">
        <f>ROUND((L51*G51*H51)-(0.06*M23),2)</f>
        <v>87.27</v>
      </c>
    </row>
    <row r="52" spans="1:1003" s="177" customFormat="1" ht="22.9" customHeight="1">
      <c r="A52" s="235" t="s">
        <v>60</v>
      </c>
      <c r="B52" s="565" t="s">
        <v>410</v>
      </c>
      <c r="C52" s="576"/>
      <c r="D52" s="576"/>
      <c r="E52" s="576"/>
      <c r="F52" s="263">
        <v>15.21</v>
      </c>
      <c r="G52" s="307">
        <v>41</v>
      </c>
      <c r="H52" s="308">
        <v>0.01</v>
      </c>
      <c r="I52" s="328">
        <f>ROUND((F52*G52)-(F52*G52)*H52,2)</f>
        <v>617.37</v>
      </c>
      <c r="J52" s="413"/>
      <c r="K52" s="415">
        <f>ROUND((F52*G52)-(F52*G52)*H52,2)</f>
        <v>617.37</v>
      </c>
      <c r="L52" s="442">
        <v>21</v>
      </c>
      <c r="M52" s="329">
        <f>ROUND((L52*G52)-(L52*G52)*H52,2)</f>
        <v>852.39</v>
      </c>
    </row>
    <row r="53" spans="1:1003" s="177" customFormat="1" ht="22.9" customHeight="1">
      <c r="A53" s="235" t="s">
        <v>63</v>
      </c>
      <c r="B53" s="565" t="s">
        <v>409</v>
      </c>
      <c r="C53" s="576"/>
      <c r="D53" s="576"/>
      <c r="E53" s="576"/>
      <c r="F53" s="566"/>
      <c r="G53" s="294">
        <v>0.16</v>
      </c>
      <c r="H53" s="294">
        <v>0.01</v>
      </c>
      <c r="I53" s="328">
        <f>ROUND((G53*I23)-(H53*I23),2)/12</f>
        <v>21.192499999999999</v>
      </c>
      <c r="J53" s="413"/>
      <c r="K53" s="415">
        <f>ROUND((G53*K23)-(H53*K23),2)/12</f>
        <v>21.192499999999999</v>
      </c>
      <c r="L53" s="417"/>
      <c r="M53" s="329">
        <f>ROUND((G53*M23)-(H53*M23),2)/12</f>
        <v>21.192499999999999</v>
      </c>
    </row>
    <row r="54" spans="1:1003" s="177" customFormat="1" ht="21" customHeight="1">
      <c r="A54" s="235" t="s">
        <v>65</v>
      </c>
      <c r="B54" s="577" t="s">
        <v>111</v>
      </c>
      <c r="C54" s="578"/>
      <c r="D54" s="578"/>
      <c r="E54" s="578"/>
      <c r="F54" s="578"/>
      <c r="G54" s="578"/>
      <c r="H54" s="579"/>
      <c r="I54" s="328">
        <v>14.16</v>
      </c>
      <c r="J54" s="413"/>
      <c r="K54" s="415">
        <v>14.16</v>
      </c>
      <c r="L54" s="417"/>
      <c r="M54" s="329">
        <v>14.16</v>
      </c>
    </row>
    <row r="55" spans="1:1003" s="177" customFormat="1" ht="20.100000000000001" customHeight="1">
      <c r="A55" s="235" t="s">
        <v>49</v>
      </c>
      <c r="B55" s="590" t="s">
        <v>112</v>
      </c>
      <c r="C55" s="590"/>
      <c r="D55" s="590"/>
      <c r="E55" s="590"/>
      <c r="F55" s="590"/>
      <c r="G55" s="590"/>
      <c r="H55" s="590"/>
      <c r="I55" s="328">
        <v>0</v>
      </c>
      <c r="J55" s="413"/>
      <c r="K55" s="415">
        <v>0</v>
      </c>
      <c r="L55" s="417"/>
      <c r="M55" s="329">
        <v>0</v>
      </c>
    </row>
    <row r="56" spans="1:1003" s="177" customFormat="1" ht="20.100000000000001" customHeight="1">
      <c r="A56" s="235" t="s">
        <v>102</v>
      </c>
      <c r="B56" s="590" t="s">
        <v>357</v>
      </c>
      <c r="C56" s="590"/>
      <c r="D56" s="590"/>
      <c r="E56" s="590"/>
      <c r="F56" s="590"/>
      <c r="G56" s="590"/>
      <c r="H56" s="590"/>
      <c r="I56" s="328">
        <v>0</v>
      </c>
      <c r="J56" s="413"/>
      <c r="K56" s="415">
        <v>0</v>
      </c>
      <c r="L56" s="417"/>
      <c r="M56" s="329">
        <v>0</v>
      </c>
    </row>
    <row r="57" spans="1:1003" s="179" customFormat="1" ht="20.100000000000001" customHeight="1">
      <c r="A57" s="235" t="s">
        <v>104</v>
      </c>
      <c r="B57" s="590" t="s">
        <v>86</v>
      </c>
      <c r="C57" s="590"/>
      <c r="D57" s="590"/>
      <c r="E57" s="590"/>
      <c r="F57" s="590"/>
      <c r="G57" s="590"/>
      <c r="H57" s="590"/>
      <c r="I57" s="328">
        <v>0</v>
      </c>
      <c r="J57" s="413"/>
      <c r="K57" s="415">
        <v>0</v>
      </c>
      <c r="L57" s="417"/>
      <c r="M57" s="329">
        <v>0</v>
      </c>
    </row>
    <row r="58" spans="1:1003" s="177" customFormat="1" ht="20.100000000000001" customHeight="1">
      <c r="A58" s="267"/>
      <c r="B58" s="594" t="s">
        <v>113</v>
      </c>
      <c r="C58" s="594"/>
      <c r="D58" s="594"/>
      <c r="E58" s="594"/>
      <c r="F58" s="594"/>
      <c r="G58" s="594"/>
      <c r="H58" s="594"/>
      <c r="I58" s="271">
        <f>TRUNC(SUM(I51:I57),2)</f>
        <v>738.75</v>
      </c>
      <c r="J58" s="414"/>
      <c r="K58" s="320">
        <f>TRUNC(SUM(K51:K57),2)</f>
        <v>738.75</v>
      </c>
      <c r="L58" s="414"/>
      <c r="M58" s="321">
        <f>TRUNC(SUM(M51:M57),2)</f>
        <v>975.01</v>
      </c>
    </row>
    <row r="59" spans="1:1003" s="233" customFormat="1" ht="20.100000000000001" customHeight="1">
      <c r="A59" s="658" t="s">
        <v>450</v>
      </c>
      <c r="B59" s="659"/>
      <c r="C59" s="659"/>
      <c r="D59" s="659"/>
      <c r="E59" s="659"/>
      <c r="F59" s="659"/>
      <c r="G59" s="659"/>
      <c r="H59" s="659"/>
      <c r="I59" s="659"/>
      <c r="J59" s="659"/>
      <c r="K59" s="659"/>
      <c r="L59" s="659"/>
      <c r="M59" s="659"/>
      <c r="N59" s="177"/>
      <c r="O59" s="177"/>
      <c r="P59" s="177"/>
      <c r="Q59" s="177"/>
      <c r="R59" s="177"/>
      <c r="S59" s="177"/>
      <c r="T59" s="177"/>
      <c r="U59" s="177"/>
      <c r="V59" s="177"/>
      <c r="W59" s="177"/>
      <c r="X59" s="177"/>
      <c r="Y59" s="177"/>
      <c r="Z59" s="177"/>
      <c r="AA59" s="177"/>
      <c r="AB59" s="177"/>
      <c r="AC59" s="177"/>
      <c r="AD59" s="177"/>
      <c r="AE59" s="177"/>
      <c r="AF59" s="177"/>
      <c r="AG59" s="177"/>
      <c r="AH59" s="177"/>
      <c r="AI59" s="177"/>
      <c r="AJ59" s="177"/>
      <c r="AK59" s="177"/>
      <c r="AL59" s="177"/>
      <c r="AM59" s="177"/>
      <c r="AN59" s="177"/>
      <c r="AO59" s="177"/>
      <c r="AP59" s="177"/>
      <c r="AQ59" s="177"/>
      <c r="AR59" s="177"/>
      <c r="AS59" s="177"/>
      <c r="AT59" s="177"/>
      <c r="AU59" s="177"/>
      <c r="AV59" s="177"/>
      <c r="AW59" s="177"/>
      <c r="AX59" s="177"/>
      <c r="AY59" s="177"/>
      <c r="AZ59" s="177"/>
      <c r="BA59" s="177"/>
      <c r="BB59" s="177"/>
      <c r="BC59" s="177"/>
      <c r="BD59" s="177"/>
      <c r="BE59" s="177"/>
      <c r="BF59" s="177"/>
      <c r="BG59" s="177"/>
      <c r="BH59" s="177"/>
      <c r="BI59" s="177"/>
      <c r="BJ59" s="177"/>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c r="DH59" s="177"/>
      <c r="DI59" s="177"/>
      <c r="DJ59" s="177"/>
      <c r="DK59" s="177"/>
      <c r="DL59" s="177"/>
      <c r="DM59" s="177"/>
      <c r="DN59" s="177"/>
      <c r="DO59" s="177"/>
      <c r="DP59" s="177"/>
      <c r="DQ59" s="177"/>
      <c r="DR59" s="177"/>
      <c r="DS59" s="177"/>
      <c r="DT59" s="177"/>
      <c r="DU59" s="177"/>
      <c r="DV59" s="177"/>
      <c r="DW59" s="177"/>
      <c r="DX59" s="177"/>
      <c r="DY59" s="177"/>
      <c r="DZ59" s="177"/>
      <c r="EA59" s="177"/>
      <c r="EB59" s="177"/>
      <c r="EC59" s="177"/>
      <c r="ED59" s="177"/>
      <c r="EE59" s="177"/>
      <c r="EF59" s="177"/>
      <c r="EG59" s="177"/>
      <c r="EH59" s="177"/>
      <c r="EI59" s="177"/>
      <c r="EJ59" s="177"/>
      <c r="EK59" s="177"/>
      <c r="EL59" s="177"/>
      <c r="EM59" s="177"/>
      <c r="EN59" s="177"/>
      <c r="EO59" s="177"/>
      <c r="EP59" s="177"/>
      <c r="EQ59" s="177"/>
      <c r="ER59" s="177"/>
      <c r="ES59" s="177"/>
      <c r="ET59" s="177"/>
      <c r="EU59" s="177"/>
      <c r="EV59" s="177"/>
      <c r="EW59" s="177"/>
      <c r="EX59" s="177"/>
      <c r="EY59" s="177"/>
      <c r="EZ59" s="177"/>
      <c r="FA59" s="177"/>
      <c r="FB59" s="177"/>
      <c r="FC59" s="177"/>
      <c r="FD59" s="177"/>
      <c r="FE59" s="177"/>
      <c r="FF59" s="177"/>
      <c r="FG59" s="177"/>
      <c r="FH59" s="177"/>
      <c r="FI59" s="177"/>
      <c r="FJ59" s="177"/>
      <c r="FK59" s="177"/>
      <c r="FL59" s="177"/>
      <c r="FM59" s="177"/>
      <c r="FN59" s="177"/>
      <c r="FO59" s="177"/>
      <c r="FP59" s="177"/>
      <c r="FQ59" s="177"/>
      <c r="FR59" s="177"/>
      <c r="FS59" s="177"/>
      <c r="FT59" s="177"/>
      <c r="FU59" s="177"/>
      <c r="FV59" s="177"/>
      <c r="FW59" s="177"/>
      <c r="FX59" s="177"/>
      <c r="FY59" s="177"/>
      <c r="FZ59" s="177"/>
      <c r="GA59" s="177"/>
      <c r="GB59" s="177"/>
      <c r="GC59" s="177"/>
      <c r="GD59" s="177"/>
      <c r="GE59" s="177"/>
      <c r="GF59" s="177"/>
      <c r="GG59" s="177"/>
      <c r="GH59" s="177"/>
      <c r="GI59" s="177"/>
      <c r="GJ59" s="177"/>
      <c r="GK59" s="177"/>
      <c r="GL59" s="177"/>
      <c r="GM59" s="177"/>
      <c r="GN59" s="177"/>
      <c r="GO59" s="177"/>
      <c r="GP59" s="177"/>
      <c r="GQ59" s="177"/>
      <c r="GR59" s="177"/>
      <c r="GS59" s="177"/>
      <c r="GT59" s="177"/>
      <c r="GU59" s="177"/>
      <c r="GV59" s="177"/>
      <c r="GW59" s="177"/>
      <c r="GX59" s="177"/>
      <c r="GY59" s="177"/>
      <c r="GZ59" s="177"/>
      <c r="HA59" s="177"/>
      <c r="HB59" s="177"/>
      <c r="HC59" s="177"/>
      <c r="HD59" s="177"/>
      <c r="HE59" s="177"/>
      <c r="HF59" s="177"/>
      <c r="HG59" s="177"/>
      <c r="HH59" s="177"/>
      <c r="HI59" s="177"/>
      <c r="HJ59" s="177"/>
      <c r="HK59" s="177"/>
      <c r="HL59" s="177"/>
      <c r="HM59" s="177"/>
      <c r="HN59" s="177"/>
      <c r="HO59" s="177"/>
      <c r="HP59" s="177"/>
      <c r="HQ59" s="177"/>
      <c r="HR59" s="177"/>
      <c r="HS59" s="177"/>
      <c r="HT59" s="177"/>
      <c r="HU59" s="177"/>
      <c r="HV59" s="177"/>
      <c r="HW59" s="177"/>
      <c r="HX59" s="177"/>
      <c r="HY59" s="177"/>
      <c r="HZ59" s="177"/>
      <c r="IA59" s="177"/>
      <c r="IB59" s="177"/>
      <c r="IC59" s="177"/>
      <c r="ID59" s="177"/>
      <c r="IE59" s="177"/>
      <c r="IF59" s="177"/>
      <c r="IG59" s="177"/>
      <c r="IH59" s="177"/>
      <c r="II59" s="177"/>
      <c r="IJ59" s="177"/>
      <c r="IK59" s="177"/>
      <c r="IL59" s="177"/>
      <c r="IM59" s="177"/>
      <c r="IN59" s="177"/>
      <c r="IO59" s="177"/>
      <c r="IP59" s="177"/>
      <c r="IQ59" s="177"/>
      <c r="IR59" s="177"/>
      <c r="IS59" s="177"/>
      <c r="IT59" s="177"/>
      <c r="IU59" s="177"/>
      <c r="IV59" s="177"/>
      <c r="IW59" s="177"/>
      <c r="IX59" s="177"/>
      <c r="IY59" s="177"/>
      <c r="IZ59" s="177"/>
      <c r="JA59" s="177"/>
      <c r="JB59" s="177"/>
      <c r="JC59" s="177"/>
      <c r="JD59" s="177"/>
      <c r="JE59" s="177"/>
      <c r="JF59" s="177"/>
      <c r="JG59" s="177"/>
      <c r="JH59" s="177"/>
      <c r="JI59" s="177"/>
      <c r="JJ59" s="177"/>
      <c r="JK59" s="177"/>
      <c r="JL59" s="177"/>
      <c r="JM59" s="177"/>
      <c r="JN59" s="177"/>
      <c r="JO59" s="177"/>
      <c r="JP59" s="177"/>
      <c r="JQ59" s="177"/>
      <c r="JR59" s="177"/>
      <c r="JS59" s="177"/>
      <c r="JT59" s="177"/>
      <c r="JU59" s="177"/>
      <c r="JV59" s="177"/>
      <c r="JW59" s="177"/>
      <c r="JX59" s="177"/>
      <c r="JY59" s="177"/>
      <c r="JZ59" s="177"/>
      <c r="KA59" s="177"/>
      <c r="KB59" s="177"/>
      <c r="KC59" s="177"/>
      <c r="KD59" s="177"/>
      <c r="KE59" s="177"/>
      <c r="KF59" s="177"/>
      <c r="KG59" s="177"/>
      <c r="KH59" s="177"/>
      <c r="KI59" s="177"/>
      <c r="KJ59" s="177"/>
      <c r="KK59" s="177"/>
      <c r="KL59" s="177"/>
      <c r="KM59" s="177"/>
      <c r="KN59" s="177"/>
      <c r="KO59" s="177"/>
      <c r="KP59" s="177"/>
      <c r="KQ59" s="177"/>
      <c r="KR59" s="177"/>
      <c r="KS59" s="177"/>
      <c r="KT59" s="177"/>
      <c r="KU59" s="177"/>
      <c r="KV59" s="177"/>
      <c r="KW59" s="177"/>
      <c r="KX59" s="177"/>
      <c r="KY59" s="177"/>
      <c r="KZ59" s="177"/>
      <c r="LA59" s="177"/>
      <c r="LB59" s="177"/>
      <c r="LC59" s="177"/>
      <c r="LD59" s="177"/>
      <c r="LE59" s="177"/>
      <c r="LF59" s="177"/>
      <c r="LG59" s="177"/>
      <c r="LH59" s="177"/>
      <c r="LI59" s="177"/>
      <c r="LJ59" s="177"/>
      <c r="LK59" s="177"/>
      <c r="LL59" s="177"/>
      <c r="LM59" s="177"/>
      <c r="LN59" s="177"/>
      <c r="LO59" s="177"/>
      <c r="LP59" s="177"/>
      <c r="LQ59" s="177"/>
      <c r="LR59" s="177"/>
      <c r="LS59" s="177"/>
      <c r="LT59" s="177"/>
      <c r="LU59" s="177"/>
      <c r="LV59" s="177"/>
      <c r="LW59" s="177"/>
      <c r="LX59" s="177"/>
      <c r="LY59" s="177"/>
      <c r="LZ59" s="177"/>
      <c r="MA59" s="177"/>
      <c r="MB59" s="177"/>
      <c r="MC59" s="177"/>
      <c r="MD59" s="177"/>
      <c r="ME59" s="177"/>
      <c r="MF59" s="177"/>
      <c r="MG59" s="177"/>
      <c r="MH59" s="177"/>
      <c r="MI59" s="177"/>
      <c r="MJ59" s="177"/>
      <c r="MK59" s="177"/>
      <c r="ML59" s="177"/>
      <c r="MM59" s="177"/>
      <c r="MN59" s="177"/>
      <c r="MO59" s="177"/>
      <c r="MP59" s="177"/>
      <c r="MQ59" s="177"/>
      <c r="MR59" s="177"/>
      <c r="MS59" s="177"/>
      <c r="MT59" s="177"/>
      <c r="MU59" s="177"/>
      <c r="MV59" s="177"/>
      <c r="MW59" s="177"/>
      <c r="MX59" s="177"/>
      <c r="MY59" s="177"/>
      <c r="MZ59" s="177"/>
      <c r="NA59" s="177"/>
      <c r="NB59" s="177"/>
      <c r="NC59" s="177"/>
      <c r="ND59" s="177"/>
      <c r="NE59" s="177"/>
      <c r="NF59" s="177"/>
      <c r="NG59" s="177"/>
      <c r="NH59" s="177"/>
      <c r="NI59" s="177"/>
      <c r="NJ59" s="177"/>
      <c r="NK59" s="177"/>
      <c r="NL59" s="177"/>
      <c r="NM59" s="177"/>
      <c r="NN59" s="177"/>
      <c r="NO59" s="177"/>
      <c r="NP59" s="177"/>
      <c r="NQ59" s="177"/>
      <c r="NR59" s="177"/>
      <c r="NS59" s="177"/>
      <c r="NT59" s="177"/>
      <c r="NU59" s="177"/>
      <c r="NV59" s="177"/>
      <c r="NW59" s="177"/>
      <c r="NX59" s="177"/>
      <c r="NY59" s="177"/>
      <c r="NZ59" s="177"/>
      <c r="OA59" s="177"/>
      <c r="OB59" s="177"/>
      <c r="OC59" s="177"/>
      <c r="OD59" s="177"/>
      <c r="OE59" s="177"/>
      <c r="OF59" s="177"/>
      <c r="OG59" s="177"/>
      <c r="OH59" s="177"/>
      <c r="OI59" s="177"/>
      <c r="OJ59" s="177"/>
      <c r="OK59" s="177"/>
      <c r="OL59" s="177"/>
      <c r="OM59" s="177"/>
      <c r="ON59" s="177"/>
      <c r="OO59" s="177"/>
      <c r="OP59" s="177"/>
      <c r="OQ59" s="177"/>
      <c r="OR59" s="177"/>
      <c r="OS59" s="177"/>
      <c r="OT59" s="177"/>
      <c r="OU59" s="177"/>
      <c r="OV59" s="177"/>
      <c r="OW59" s="177"/>
      <c r="OX59" s="177"/>
      <c r="OY59" s="177"/>
      <c r="OZ59" s="177"/>
      <c r="PA59" s="177"/>
      <c r="PB59" s="177"/>
      <c r="PC59" s="177"/>
      <c r="PD59" s="177"/>
      <c r="PE59" s="177"/>
      <c r="PF59" s="177"/>
      <c r="PG59" s="177"/>
      <c r="PH59" s="177"/>
      <c r="PI59" s="177"/>
      <c r="PJ59" s="177"/>
      <c r="PK59" s="177"/>
      <c r="PL59" s="177"/>
      <c r="PM59" s="177"/>
      <c r="PN59" s="177"/>
      <c r="PO59" s="177"/>
      <c r="PP59" s="177"/>
      <c r="PQ59" s="177"/>
      <c r="PR59" s="177"/>
      <c r="PS59" s="177"/>
      <c r="PT59" s="177"/>
      <c r="PU59" s="177"/>
      <c r="PV59" s="177"/>
      <c r="PW59" s="177"/>
      <c r="PX59" s="177"/>
      <c r="PY59" s="177"/>
      <c r="PZ59" s="177"/>
      <c r="QA59" s="177"/>
      <c r="QB59" s="177"/>
      <c r="QC59" s="177"/>
      <c r="QD59" s="177"/>
      <c r="QE59" s="177"/>
      <c r="QF59" s="177"/>
      <c r="QG59" s="177"/>
      <c r="QH59" s="177"/>
      <c r="QI59" s="177"/>
      <c r="QJ59" s="177"/>
      <c r="QK59" s="177"/>
      <c r="QL59" s="177"/>
      <c r="QM59" s="177"/>
      <c r="QN59" s="177"/>
      <c r="QO59" s="177"/>
      <c r="QP59" s="177"/>
      <c r="QQ59" s="177"/>
      <c r="QR59" s="177"/>
      <c r="QS59" s="177"/>
      <c r="QT59" s="177"/>
      <c r="QU59" s="177"/>
      <c r="QV59" s="177"/>
      <c r="QW59" s="177"/>
      <c r="QX59" s="177"/>
      <c r="QY59" s="177"/>
      <c r="QZ59" s="177"/>
      <c r="RA59" s="177"/>
      <c r="RB59" s="177"/>
      <c r="RC59" s="177"/>
      <c r="RD59" s="177"/>
      <c r="RE59" s="177"/>
      <c r="RF59" s="177"/>
      <c r="RG59" s="177"/>
      <c r="RH59" s="177"/>
      <c r="RI59" s="177"/>
      <c r="RJ59" s="177"/>
      <c r="RK59" s="177"/>
      <c r="RL59" s="177"/>
      <c r="RM59" s="177"/>
      <c r="RN59" s="177"/>
      <c r="RO59" s="177"/>
      <c r="RP59" s="177"/>
      <c r="RQ59" s="177"/>
      <c r="RR59" s="177"/>
      <c r="RS59" s="177"/>
      <c r="RT59" s="177"/>
      <c r="RU59" s="177"/>
      <c r="RV59" s="177"/>
      <c r="RW59" s="177"/>
      <c r="RX59" s="177"/>
      <c r="RY59" s="177"/>
      <c r="RZ59" s="177"/>
      <c r="SA59" s="177"/>
      <c r="SB59" s="177"/>
      <c r="SC59" s="177"/>
      <c r="SD59" s="177"/>
      <c r="SE59" s="177"/>
      <c r="SF59" s="177"/>
      <c r="SG59" s="177"/>
      <c r="SH59" s="177"/>
      <c r="SI59" s="177"/>
      <c r="SJ59" s="177"/>
      <c r="SK59" s="177"/>
      <c r="SL59" s="177"/>
      <c r="SM59" s="177"/>
      <c r="SN59" s="177"/>
      <c r="SO59" s="177"/>
      <c r="SP59" s="177"/>
      <c r="SQ59" s="177"/>
      <c r="SR59" s="177"/>
      <c r="SS59" s="177"/>
      <c r="ST59" s="177"/>
      <c r="SU59" s="177"/>
      <c r="SV59" s="177"/>
      <c r="SW59" s="177"/>
      <c r="SX59" s="177"/>
      <c r="SY59" s="177"/>
      <c r="SZ59" s="177"/>
      <c r="TA59" s="177"/>
      <c r="TB59" s="177"/>
      <c r="TC59" s="177"/>
      <c r="TD59" s="177"/>
      <c r="TE59" s="177"/>
      <c r="TF59" s="177"/>
      <c r="TG59" s="177"/>
      <c r="TH59" s="177"/>
      <c r="TI59" s="177"/>
      <c r="TJ59" s="177"/>
      <c r="TK59" s="177"/>
      <c r="TL59" s="177"/>
      <c r="TM59" s="177"/>
      <c r="TN59" s="177"/>
      <c r="TO59" s="177"/>
      <c r="TP59" s="177"/>
      <c r="TQ59" s="177"/>
      <c r="TR59" s="177"/>
      <c r="TS59" s="177"/>
      <c r="TT59" s="177"/>
      <c r="TU59" s="177"/>
      <c r="TV59" s="177"/>
      <c r="TW59" s="177"/>
      <c r="TX59" s="177"/>
      <c r="TY59" s="177"/>
      <c r="TZ59" s="177"/>
      <c r="UA59" s="177"/>
      <c r="UB59" s="177"/>
      <c r="UC59" s="177"/>
      <c r="UD59" s="177"/>
      <c r="UE59" s="177"/>
      <c r="UF59" s="177"/>
      <c r="UG59" s="177"/>
      <c r="UH59" s="177"/>
      <c r="UI59" s="177"/>
      <c r="UJ59" s="177"/>
      <c r="UK59" s="177"/>
      <c r="UL59" s="177"/>
      <c r="UM59" s="177"/>
      <c r="UN59" s="177"/>
      <c r="UO59" s="177"/>
      <c r="UP59" s="177"/>
      <c r="UQ59" s="177"/>
      <c r="UR59" s="177"/>
      <c r="US59" s="177"/>
      <c r="UT59" s="177"/>
      <c r="UU59" s="177"/>
      <c r="UV59" s="177"/>
      <c r="UW59" s="177"/>
      <c r="UX59" s="177"/>
      <c r="UY59" s="177"/>
      <c r="UZ59" s="177"/>
      <c r="VA59" s="177"/>
      <c r="VB59" s="177"/>
      <c r="VC59" s="177"/>
      <c r="VD59" s="177"/>
      <c r="VE59" s="177"/>
      <c r="VF59" s="177"/>
      <c r="VG59" s="177"/>
      <c r="VH59" s="177"/>
      <c r="VI59" s="177"/>
      <c r="VJ59" s="177"/>
      <c r="VK59" s="177"/>
      <c r="VL59" s="177"/>
      <c r="VM59" s="177"/>
      <c r="VN59" s="177"/>
      <c r="VO59" s="177"/>
      <c r="VP59" s="177"/>
      <c r="VQ59" s="177"/>
      <c r="VR59" s="177"/>
      <c r="VS59" s="177"/>
      <c r="VT59" s="177"/>
      <c r="VU59" s="177"/>
      <c r="VV59" s="177"/>
      <c r="VW59" s="177"/>
      <c r="VX59" s="177"/>
      <c r="VY59" s="177"/>
      <c r="VZ59" s="177"/>
      <c r="WA59" s="177"/>
      <c r="WB59" s="177"/>
      <c r="WC59" s="177"/>
      <c r="WD59" s="177"/>
      <c r="WE59" s="177"/>
      <c r="WF59" s="177"/>
      <c r="WG59" s="177"/>
      <c r="WH59" s="177"/>
      <c r="WI59" s="177"/>
      <c r="WJ59" s="177"/>
      <c r="WK59" s="177"/>
      <c r="WL59" s="177"/>
      <c r="WM59" s="177"/>
      <c r="WN59" s="177"/>
      <c r="WO59" s="177"/>
      <c r="WP59" s="177"/>
      <c r="WQ59" s="177"/>
      <c r="WR59" s="177"/>
      <c r="WS59" s="177"/>
      <c r="WT59" s="177"/>
      <c r="WU59" s="177"/>
      <c r="WV59" s="177"/>
      <c r="WW59" s="177"/>
      <c r="WX59" s="177"/>
      <c r="WY59" s="177"/>
      <c r="WZ59" s="177"/>
      <c r="XA59" s="177"/>
      <c r="XB59" s="177"/>
      <c r="XC59" s="177"/>
      <c r="XD59" s="177"/>
      <c r="XE59" s="177"/>
      <c r="XF59" s="177"/>
      <c r="XG59" s="177"/>
      <c r="XH59" s="177"/>
      <c r="XI59" s="177"/>
      <c r="XJ59" s="177"/>
      <c r="XK59" s="177"/>
      <c r="XL59" s="177"/>
      <c r="XM59" s="177"/>
      <c r="XN59" s="177"/>
      <c r="XO59" s="177"/>
      <c r="XP59" s="177"/>
      <c r="XQ59" s="177"/>
      <c r="XR59" s="177"/>
      <c r="XS59" s="177"/>
      <c r="XT59" s="177"/>
      <c r="XU59" s="177"/>
      <c r="XV59" s="177"/>
      <c r="XW59" s="177"/>
      <c r="XX59" s="177"/>
      <c r="XY59" s="177"/>
      <c r="XZ59" s="177"/>
      <c r="YA59" s="177"/>
      <c r="YB59" s="177"/>
      <c r="YC59" s="177"/>
      <c r="YD59" s="177"/>
      <c r="YE59" s="177"/>
      <c r="YF59" s="177"/>
      <c r="YG59" s="177"/>
      <c r="YH59" s="177"/>
      <c r="YI59" s="177"/>
      <c r="YJ59" s="177"/>
      <c r="YK59" s="177"/>
      <c r="YL59" s="177"/>
      <c r="YM59" s="177"/>
      <c r="YN59" s="177"/>
      <c r="YO59" s="177"/>
      <c r="YP59" s="177"/>
      <c r="YQ59" s="177"/>
      <c r="YR59" s="177"/>
      <c r="YS59" s="177"/>
      <c r="YT59" s="177"/>
      <c r="YU59" s="177"/>
      <c r="YV59" s="177"/>
      <c r="YW59" s="177"/>
      <c r="YX59" s="177"/>
      <c r="YY59" s="177"/>
      <c r="YZ59" s="177"/>
      <c r="ZA59" s="177"/>
      <c r="ZB59" s="177"/>
      <c r="ZC59" s="177"/>
      <c r="ZD59" s="177"/>
      <c r="ZE59" s="177"/>
      <c r="ZF59" s="177"/>
      <c r="ZG59" s="177"/>
      <c r="ZH59" s="177"/>
      <c r="ZI59" s="177"/>
      <c r="ZJ59" s="177"/>
      <c r="ZK59" s="177"/>
      <c r="ZL59" s="177"/>
      <c r="ZM59" s="177"/>
      <c r="ZN59" s="177"/>
      <c r="ZO59" s="177"/>
      <c r="ZP59" s="177"/>
      <c r="ZQ59" s="177"/>
      <c r="ZR59" s="177"/>
      <c r="ZS59" s="177"/>
      <c r="ZT59" s="177"/>
      <c r="ZU59" s="177"/>
      <c r="ZV59" s="177"/>
      <c r="ZW59" s="177"/>
      <c r="ZX59" s="177"/>
      <c r="ZY59" s="177"/>
      <c r="ZZ59" s="177"/>
      <c r="AAA59" s="177"/>
      <c r="AAB59" s="177"/>
      <c r="AAC59" s="177"/>
      <c r="AAD59" s="177"/>
      <c r="AAE59" s="177"/>
      <c r="AAF59" s="177"/>
      <c r="AAG59" s="177"/>
      <c r="AAH59" s="177"/>
      <c r="AAI59" s="177"/>
      <c r="AAJ59" s="177"/>
      <c r="AAK59" s="177"/>
      <c r="AAL59" s="177"/>
      <c r="AAM59" s="177"/>
      <c r="AAN59" s="177"/>
      <c r="AAO59" s="177"/>
      <c r="AAP59" s="177"/>
      <c r="AAQ59" s="177"/>
      <c r="AAR59" s="177"/>
      <c r="AAS59" s="177"/>
      <c r="AAT59" s="177"/>
      <c r="AAU59" s="177"/>
      <c r="AAV59" s="177"/>
      <c r="AAW59" s="177"/>
      <c r="AAX59" s="177"/>
      <c r="AAY59" s="177"/>
      <c r="AAZ59" s="177"/>
      <c r="ABA59" s="177"/>
      <c r="ABB59" s="177"/>
      <c r="ABC59" s="177"/>
      <c r="ABD59" s="177"/>
      <c r="ABE59" s="177"/>
      <c r="ABF59" s="177"/>
      <c r="ABG59" s="177"/>
      <c r="ABH59" s="177"/>
      <c r="ABI59" s="177"/>
      <c r="ABJ59" s="177"/>
      <c r="ABK59" s="177"/>
      <c r="ABL59" s="177"/>
      <c r="ABM59" s="177"/>
      <c r="ABN59" s="177"/>
      <c r="ABO59" s="177"/>
      <c r="ABP59" s="177"/>
      <c r="ABQ59" s="177"/>
      <c r="ABR59" s="177"/>
      <c r="ABS59" s="177"/>
      <c r="ABT59" s="177"/>
      <c r="ABU59" s="177"/>
      <c r="ABV59" s="177"/>
      <c r="ABW59" s="177"/>
      <c r="ABX59" s="177"/>
      <c r="ABY59" s="177"/>
      <c r="ABZ59" s="177"/>
      <c r="ACA59" s="177"/>
      <c r="ACB59" s="177"/>
      <c r="ACC59" s="177"/>
      <c r="ACD59" s="177"/>
      <c r="ACE59" s="177"/>
      <c r="ACF59" s="177"/>
      <c r="ACG59" s="177"/>
      <c r="ACH59" s="177"/>
      <c r="ACI59" s="177"/>
      <c r="ACJ59" s="177"/>
      <c r="ACK59" s="177"/>
      <c r="ACL59" s="177"/>
      <c r="ACM59" s="177"/>
      <c r="ACN59" s="177"/>
      <c r="ACO59" s="177"/>
      <c r="ACP59" s="177"/>
      <c r="ACQ59" s="177"/>
      <c r="ACR59" s="177"/>
      <c r="ACS59" s="177"/>
      <c r="ACT59" s="177"/>
      <c r="ACU59" s="177"/>
      <c r="ACV59" s="177"/>
      <c r="ACW59" s="177"/>
      <c r="ACX59" s="177"/>
      <c r="ACY59" s="177"/>
      <c r="ACZ59" s="177"/>
      <c r="ADA59" s="177"/>
      <c r="ADB59" s="177"/>
      <c r="ADC59" s="177"/>
      <c r="ADD59" s="177"/>
      <c r="ADE59" s="177"/>
      <c r="ADF59" s="177"/>
      <c r="ADG59" s="177"/>
      <c r="ADH59" s="177"/>
      <c r="ADI59" s="177"/>
      <c r="ADJ59" s="177"/>
      <c r="ADK59" s="177"/>
      <c r="ADL59" s="177"/>
      <c r="ADM59" s="177"/>
      <c r="ADN59" s="177"/>
      <c r="ADO59" s="177"/>
      <c r="ADP59" s="177"/>
      <c r="ADQ59" s="177"/>
      <c r="ADR59" s="177"/>
      <c r="ADS59" s="177"/>
      <c r="ADT59" s="177"/>
      <c r="ADU59" s="177"/>
      <c r="ADV59" s="177"/>
      <c r="ADW59" s="177"/>
      <c r="ADX59" s="177"/>
      <c r="ADY59" s="177"/>
      <c r="ADZ59" s="177"/>
      <c r="AEA59" s="177"/>
      <c r="AEB59" s="177"/>
      <c r="AEC59" s="177"/>
      <c r="AED59" s="177"/>
      <c r="AEE59" s="177"/>
      <c r="AEF59" s="177"/>
      <c r="AEG59" s="177"/>
      <c r="AEH59" s="177"/>
      <c r="AEI59" s="177"/>
      <c r="AEJ59" s="177"/>
      <c r="AEK59" s="177"/>
      <c r="AEL59" s="177"/>
      <c r="AEM59" s="177"/>
      <c r="AEN59" s="177"/>
      <c r="AEO59" s="177"/>
      <c r="AEP59" s="177"/>
      <c r="AEQ59" s="177"/>
      <c r="AER59" s="177"/>
      <c r="AES59" s="177"/>
      <c r="AET59" s="177"/>
      <c r="AEU59" s="177"/>
      <c r="AEV59" s="177"/>
      <c r="AEW59" s="177"/>
      <c r="AEX59" s="177"/>
      <c r="AEY59" s="177"/>
      <c r="AEZ59" s="177"/>
      <c r="AFA59" s="177"/>
      <c r="AFB59" s="177"/>
      <c r="AFC59" s="177"/>
      <c r="AFD59" s="177"/>
      <c r="AFE59" s="177"/>
      <c r="AFF59" s="177"/>
      <c r="AFG59" s="177"/>
      <c r="AFH59" s="177"/>
      <c r="AFI59" s="177"/>
      <c r="AFJ59" s="177"/>
      <c r="AFK59" s="177"/>
      <c r="AFL59" s="177"/>
      <c r="AFM59" s="177"/>
      <c r="AFN59" s="177"/>
      <c r="AFO59" s="177"/>
      <c r="AFP59" s="177"/>
      <c r="AFQ59" s="177"/>
      <c r="AFR59" s="177"/>
      <c r="AFS59" s="177"/>
      <c r="AFT59" s="177"/>
      <c r="AFU59" s="177"/>
      <c r="AFV59" s="177"/>
      <c r="AFW59" s="177"/>
      <c r="AFX59" s="177"/>
      <c r="AFY59" s="177"/>
      <c r="AFZ59" s="177"/>
      <c r="AGA59" s="177"/>
      <c r="AGB59" s="177"/>
      <c r="AGC59" s="177"/>
      <c r="AGD59" s="177"/>
      <c r="AGE59" s="177"/>
      <c r="AGF59" s="177"/>
      <c r="AGG59" s="177"/>
      <c r="AGH59" s="177"/>
      <c r="AGI59" s="177"/>
      <c r="AGJ59" s="177"/>
      <c r="AGK59" s="177"/>
      <c r="AGL59" s="177"/>
      <c r="AGM59" s="177"/>
      <c r="AGN59" s="177"/>
      <c r="AGO59" s="177"/>
      <c r="AGP59" s="177"/>
      <c r="AGQ59" s="177"/>
      <c r="AGR59" s="177"/>
      <c r="AGS59" s="177"/>
      <c r="AGT59" s="177"/>
      <c r="AGU59" s="177"/>
      <c r="AGV59" s="177"/>
      <c r="AGW59" s="177"/>
      <c r="AGX59" s="177"/>
      <c r="AGY59" s="177"/>
      <c r="AGZ59" s="177"/>
      <c r="AHA59" s="177"/>
      <c r="AHB59" s="177"/>
      <c r="AHC59" s="177"/>
      <c r="AHD59" s="177"/>
      <c r="AHE59" s="177"/>
      <c r="AHF59" s="177"/>
      <c r="AHG59" s="177"/>
      <c r="AHH59" s="177"/>
      <c r="AHI59" s="177"/>
      <c r="AHJ59" s="177"/>
      <c r="AHK59" s="177"/>
      <c r="AHL59" s="177"/>
      <c r="AHM59" s="177"/>
      <c r="AHN59" s="177"/>
      <c r="AHO59" s="177"/>
      <c r="AHP59" s="177"/>
      <c r="AHQ59" s="177"/>
      <c r="AHR59" s="177"/>
      <c r="AHS59" s="177"/>
      <c r="AHT59" s="177"/>
      <c r="AHU59" s="177"/>
      <c r="AHV59" s="177"/>
      <c r="AHW59" s="177"/>
      <c r="AHX59" s="177"/>
      <c r="AHY59" s="177"/>
      <c r="AHZ59" s="177"/>
      <c r="AIA59" s="177"/>
      <c r="AIB59" s="177"/>
      <c r="AIC59" s="177"/>
      <c r="AID59" s="177"/>
      <c r="AIE59" s="177"/>
      <c r="AIF59" s="177"/>
      <c r="AIG59" s="177"/>
      <c r="AIH59" s="177"/>
      <c r="AII59" s="177"/>
      <c r="AIJ59" s="177"/>
      <c r="AIK59" s="177"/>
      <c r="AIL59" s="177"/>
      <c r="AIM59" s="177"/>
      <c r="AIN59" s="177"/>
      <c r="AIO59" s="177"/>
      <c r="AIP59" s="177"/>
      <c r="AIQ59" s="177"/>
      <c r="AIR59" s="177"/>
      <c r="AIS59" s="177"/>
      <c r="AIT59" s="177"/>
      <c r="AIU59" s="177"/>
      <c r="AIV59" s="177"/>
      <c r="AIW59" s="177"/>
      <c r="AIX59" s="177"/>
      <c r="AIY59" s="177"/>
      <c r="AIZ59" s="177"/>
      <c r="AJA59" s="177"/>
      <c r="AJB59" s="177"/>
      <c r="AJC59" s="177"/>
      <c r="AJD59" s="177"/>
      <c r="AJE59" s="177"/>
      <c r="AJF59" s="177"/>
      <c r="AJG59" s="177"/>
      <c r="AJH59" s="177"/>
      <c r="AJI59" s="177"/>
      <c r="AJJ59" s="177"/>
      <c r="AJK59" s="177"/>
      <c r="AJL59" s="177"/>
      <c r="AJM59" s="177"/>
      <c r="AJN59" s="177"/>
      <c r="AJO59" s="177"/>
      <c r="AJP59" s="177"/>
      <c r="AJQ59" s="177"/>
      <c r="AJR59" s="177"/>
      <c r="AJS59" s="177"/>
      <c r="AJT59" s="177"/>
      <c r="AJU59" s="177"/>
      <c r="AJV59" s="177"/>
      <c r="AJW59" s="177"/>
      <c r="AJX59" s="177"/>
      <c r="AJY59" s="177"/>
      <c r="AJZ59" s="177"/>
      <c r="AKA59" s="177"/>
      <c r="AKB59" s="177"/>
      <c r="AKC59" s="177"/>
      <c r="AKD59" s="177"/>
      <c r="AKE59" s="177"/>
      <c r="AKF59" s="177"/>
      <c r="AKG59" s="177"/>
      <c r="AKH59" s="177"/>
      <c r="AKI59" s="177"/>
      <c r="AKJ59" s="177"/>
      <c r="AKK59" s="177"/>
      <c r="AKL59" s="177"/>
      <c r="AKM59" s="177"/>
      <c r="AKN59" s="177"/>
      <c r="AKO59" s="177"/>
      <c r="AKP59" s="177"/>
      <c r="AKQ59" s="177"/>
      <c r="AKR59" s="177"/>
      <c r="AKS59" s="177"/>
      <c r="AKT59" s="177"/>
      <c r="AKU59" s="177"/>
      <c r="AKV59" s="177"/>
      <c r="AKW59" s="177"/>
      <c r="AKX59" s="177"/>
      <c r="AKY59" s="177"/>
      <c r="AKZ59" s="177"/>
      <c r="ALA59" s="177"/>
      <c r="ALB59" s="177"/>
      <c r="ALC59" s="177"/>
      <c r="ALD59" s="177"/>
      <c r="ALE59" s="177"/>
      <c r="ALF59" s="177"/>
      <c r="ALG59" s="177"/>
      <c r="ALH59" s="177"/>
      <c r="ALI59" s="177"/>
      <c r="ALJ59" s="177"/>
      <c r="ALK59" s="177"/>
      <c r="ALL59" s="177"/>
      <c r="ALM59" s="177"/>
      <c r="ALN59" s="177"/>
      <c r="ALO59" s="177"/>
    </row>
    <row r="60" spans="1:1003" s="176" customFormat="1" ht="22.15" customHeight="1">
      <c r="A60" s="239" t="s">
        <v>448</v>
      </c>
      <c r="B60" s="666" t="s">
        <v>406</v>
      </c>
      <c r="C60" s="666"/>
      <c r="D60" s="666"/>
      <c r="E60" s="666"/>
      <c r="F60" s="666"/>
      <c r="G60" s="666"/>
      <c r="H60" s="666"/>
      <c r="I60" s="240" t="s">
        <v>84</v>
      </c>
      <c r="J60" s="262"/>
      <c r="K60" s="240" t="s">
        <v>84</v>
      </c>
      <c r="L60" s="241"/>
      <c r="M60" s="240" t="s">
        <v>84</v>
      </c>
      <c r="N60" s="306"/>
      <c r="O60" s="306"/>
      <c r="P60" s="306"/>
      <c r="Q60" s="621"/>
      <c r="R60" s="621"/>
      <c r="S60" s="621"/>
      <c r="T60" s="621"/>
      <c r="U60" s="621"/>
      <c r="V60" s="621"/>
      <c r="W60" s="621"/>
      <c r="X60" s="621"/>
      <c r="Y60" s="621"/>
      <c r="Z60" s="621"/>
      <c r="AA60" s="621"/>
      <c r="AB60" s="621"/>
      <c r="AC60" s="621"/>
      <c r="AD60" s="621"/>
      <c r="AE60" s="621"/>
      <c r="AF60" s="621"/>
      <c r="AG60" s="621"/>
      <c r="AH60" s="621"/>
      <c r="AI60" s="621"/>
      <c r="AJ60" s="621"/>
      <c r="AK60" s="621"/>
      <c r="AL60" s="621"/>
      <c r="AM60" s="621"/>
      <c r="AN60" s="621"/>
      <c r="AO60" s="621"/>
      <c r="AP60" s="621"/>
      <c r="AQ60" s="621"/>
      <c r="AR60" s="621"/>
      <c r="AS60" s="621"/>
      <c r="AT60" s="621"/>
      <c r="AU60" s="621"/>
      <c r="AV60" s="621"/>
      <c r="AW60" s="621"/>
      <c r="AX60" s="621"/>
      <c r="AY60" s="621"/>
      <c r="AZ60" s="621"/>
      <c r="BA60" s="621"/>
      <c r="BB60" s="621"/>
      <c r="BC60" s="621"/>
      <c r="BD60" s="621"/>
      <c r="BE60" s="621"/>
      <c r="BF60" s="621"/>
      <c r="BG60" s="621"/>
      <c r="BH60" s="621"/>
      <c r="BI60" s="621"/>
      <c r="BJ60" s="621"/>
      <c r="BK60" s="621"/>
      <c r="BL60" s="621"/>
      <c r="BM60" s="621"/>
      <c r="BN60" s="621"/>
      <c r="BO60" s="621"/>
      <c r="BP60" s="621"/>
      <c r="BQ60" s="621"/>
      <c r="BR60" s="621"/>
      <c r="BS60" s="621"/>
      <c r="BT60" s="621"/>
      <c r="BU60" s="621"/>
      <c r="BV60" s="621"/>
      <c r="BW60" s="621"/>
      <c r="BX60" s="621"/>
      <c r="BY60" s="621"/>
      <c r="BZ60" s="621"/>
      <c r="CA60" s="621"/>
      <c r="CB60" s="621"/>
      <c r="CC60" s="621"/>
      <c r="CD60" s="621"/>
      <c r="CE60" s="621"/>
      <c r="CF60" s="621"/>
      <c r="CG60" s="621"/>
      <c r="CH60" s="621"/>
      <c r="CI60" s="621"/>
      <c r="CJ60" s="621"/>
      <c r="CK60" s="621"/>
      <c r="CL60" s="621"/>
      <c r="CM60" s="621"/>
      <c r="CN60" s="621"/>
      <c r="CO60" s="621"/>
      <c r="CP60" s="621"/>
      <c r="CQ60" s="621"/>
      <c r="CR60" s="621"/>
      <c r="CS60" s="621"/>
      <c r="CT60" s="621"/>
      <c r="CU60" s="621"/>
      <c r="CV60" s="621"/>
      <c r="CW60" s="621"/>
      <c r="CX60" s="621"/>
      <c r="CY60" s="621"/>
      <c r="CZ60" s="621"/>
      <c r="DA60" s="621"/>
      <c r="DB60" s="621"/>
      <c r="DC60" s="621"/>
      <c r="DD60" s="621"/>
      <c r="DE60" s="621"/>
      <c r="DF60" s="621"/>
      <c r="DG60" s="621"/>
      <c r="DH60" s="621"/>
      <c r="DI60" s="621"/>
      <c r="DJ60" s="621"/>
      <c r="DK60" s="621"/>
      <c r="DL60" s="621"/>
      <c r="DM60" s="621"/>
      <c r="DN60" s="621"/>
      <c r="DO60" s="621"/>
      <c r="DP60" s="621"/>
      <c r="DQ60" s="621"/>
      <c r="DR60" s="621"/>
      <c r="DS60" s="621"/>
      <c r="DT60" s="621"/>
      <c r="DU60" s="621"/>
      <c r="DV60" s="621"/>
      <c r="DW60" s="621"/>
      <c r="DX60" s="621"/>
      <c r="DY60" s="621"/>
      <c r="DZ60" s="621"/>
      <c r="EA60" s="621"/>
      <c r="EB60" s="621"/>
      <c r="EC60" s="621"/>
      <c r="ED60" s="621"/>
      <c r="EE60" s="621"/>
      <c r="EF60" s="621"/>
      <c r="EG60" s="621"/>
      <c r="EH60" s="621"/>
      <c r="EI60" s="621"/>
      <c r="EJ60" s="621"/>
      <c r="EK60" s="621"/>
      <c r="EL60" s="621"/>
      <c r="EM60" s="621"/>
      <c r="EN60" s="621"/>
      <c r="EO60" s="621"/>
      <c r="EP60" s="621"/>
      <c r="EQ60" s="621"/>
      <c r="ER60" s="621"/>
      <c r="ES60" s="621"/>
      <c r="ET60" s="621"/>
      <c r="EU60" s="621"/>
      <c r="EV60" s="621"/>
      <c r="EW60" s="621"/>
      <c r="EX60" s="621"/>
      <c r="EY60" s="621"/>
      <c r="EZ60" s="621"/>
      <c r="FA60" s="621"/>
      <c r="FB60" s="621"/>
      <c r="FC60" s="621"/>
      <c r="FD60" s="621"/>
      <c r="FE60" s="621"/>
      <c r="FF60" s="621"/>
      <c r="FG60" s="621"/>
      <c r="FH60" s="621"/>
      <c r="FI60" s="621"/>
      <c r="FJ60" s="621"/>
      <c r="FK60" s="621"/>
      <c r="FL60" s="621"/>
      <c r="FM60" s="621"/>
      <c r="FN60" s="621"/>
      <c r="FO60" s="621"/>
      <c r="FP60" s="621"/>
      <c r="FQ60" s="621"/>
      <c r="FR60" s="621"/>
      <c r="FS60" s="621"/>
      <c r="FT60" s="621"/>
      <c r="FU60" s="621"/>
      <c r="FV60" s="621"/>
      <c r="FW60" s="621"/>
      <c r="FX60" s="621"/>
      <c r="FY60" s="621"/>
      <c r="FZ60" s="621"/>
      <c r="GA60" s="621"/>
      <c r="GB60" s="621"/>
      <c r="GC60" s="621"/>
      <c r="GD60" s="621"/>
      <c r="GE60" s="621"/>
      <c r="GF60" s="621"/>
      <c r="GG60" s="621"/>
      <c r="GH60" s="621"/>
      <c r="GI60" s="621"/>
      <c r="GJ60" s="621"/>
    </row>
    <row r="61" spans="1:1003" s="177" customFormat="1" ht="25.5" customHeight="1">
      <c r="A61" s="439" t="s">
        <v>58</v>
      </c>
      <c r="B61" s="642" t="s">
        <v>411</v>
      </c>
      <c r="C61" s="642"/>
      <c r="D61" s="642"/>
      <c r="E61" s="642"/>
      <c r="F61" s="642"/>
      <c r="G61" s="336">
        <v>15.21</v>
      </c>
      <c r="H61" s="336">
        <v>1.5</v>
      </c>
      <c r="I61" s="329">
        <f>ROUND((I28/220)*G61*H61,2)</f>
        <v>228.57</v>
      </c>
      <c r="J61" s="266"/>
      <c r="K61" s="328">
        <f>ROUND((K28/220)*G61*H61,2)</f>
        <v>260.23</v>
      </c>
      <c r="L61" s="330">
        <v>21</v>
      </c>
      <c r="M61" s="329">
        <f>ROUND((M28/220)*L61*H61,2)</f>
        <v>315.58</v>
      </c>
    </row>
    <row r="62" spans="1:1003" s="177" customFormat="1" ht="20.100000000000001" customHeight="1">
      <c r="A62" s="651" t="s">
        <v>92</v>
      </c>
      <c r="B62" s="652"/>
      <c r="C62" s="652"/>
      <c r="D62" s="652"/>
      <c r="E62" s="652"/>
      <c r="F62" s="652"/>
      <c r="G62" s="652"/>
      <c r="H62" s="653"/>
      <c r="I62" s="261">
        <f>SUM(I61)</f>
        <v>228.57</v>
      </c>
      <c r="J62" s="248"/>
      <c r="K62" s="261">
        <f>SUM(K61)</f>
        <v>260.23</v>
      </c>
      <c r="L62" s="293"/>
      <c r="M62" s="261">
        <f>SUM(M61)</f>
        <v>315.58</v>
      </c>
    </row>
    <row r="63" spans="1:1003" s="177" customFormat="1" ht="20.100000000000001" customHeight="1">
      <c r="A63" s="639" t="s">
        <v>457</v>
      </c>
      <c r="B63" s="640"/>
      <c r="C63" s="640"/>
      <c r="D63" s="640"/>
      <c r="E63" s="640"/>
      <c r="F63" s="640"/>
      <c r="G63" s="640"/>
      <c r="H63" s="640"/>
      <c r="I63" s="640"/>
      <c r="J63" s="640"/>
      <c r="K63" s="640"/>
      <c r="L63" s="640"/>
      <c r="M63" s="641"/>
    </row>
    <row r="64" spans="1:1003" s="177" customFormat="1" ht="13.5" customHeight="1">
      <c r="A64" s="654"/>
      <c r="B64" s="654"/>
      <c r="C64" s="654"/>
      <c r="D64" s="654"/>
      <c r="E64" s="654"/>
      <c r="F64" s="654"/>
      <c r="G64" s="654"/>
      <c r="H64" s="654"/>
      <c r="I64" s="654"/>
      <c r="J64" s="654"/>
      <c r="K64" s="654"/>
      <c r="L64" s="654"/>
      <c r="M64" s="654"/>
    </row>
    <row r="65" spans="1:13" s="177" customFormat="1" ht="20.100000000000001" customHeight="1">
      <c r="A65" s="573" t="s">
        <v>114</v>
      </c>
      <c r="B65" s="574"/>
      <c r="C65" s="574"/>
      <c r="D65" s="574"/>
      <c r="E65" s="574"/>
      <c r="F65" s="574"/>
      <c r="G65" s="574"/>
      <c r="H65" s="574"/>
      <c r="I65" s="574"/>
      <c r="J65" s="574"/>
      <c r="K65" s="574"/>
      <c r="L65" s="574"/>
      <c r="M65" s="575"/>
    </row>
    <row r="66" spans="1:13" s="177" customFormat="1" ht="20.100000000000001" customHeight="1">
      <c r="A66" s="316">
        <v>2</v>
      </c>
      <c r="B66" s="573" t="s">
        <v>115</v>
      </c>
      <c r="C66" s="574"/>
      <c r="D66" s="574"/>
      <c r="E66" s="574"/>
      <c r="F66" s="574"/>
      <c r="G66" s="574"/>
      <c r="H66" s="575"/>
      <c r="I66" s="316" t="s">
        <v>84</v>
      </c>
      <c r="J66" s="310"/>
      <c r="K66" s="316" t="s">
        <v>84</v>
      </c>
      <c r="L66" s="310"/>
      <c r="M66" s="316" t="s">
        <v>84</v>
      </c>
    </row>
    <row r="67" spans="1:13" s="177" customFormat="1" ht="20.100000000000001" customHeight="1">
      <c r="A67" s="316" t="s">
        <v>90</v>
      </c>
      <c r="B67" s="313" t="s">
        <v>91</v>
      </c>
      <c r="C67" s="314"/>
      <c r="D67" s="314"/>
      <c r="E67" s="314"/>
      <c r="F67" s="314"/>
      <c r="G67" s="314"/>
      <c r="H67" s="315"/>
      <c r="I67" s="268">
        <f>I34</f>
        <v>430.08</v>
      </c>
      <c r="J67" s="311"/>
      <c r="K67" s="268">
        <f>K34</f>
        <v>489.65000000000003</v>
      </c>
      <c r="L67" s="311"/>
      <c r="M67" s="268">
        <f>M34</f>
        <v>430.08</v>
      </c>
    </row>
    <row r="68" spans="1:13" s="177" customFormat="1" ht="20.100000000000001" customHeight="1">
      <c r="A68" s="316" t="s">
        <v>96</v>
      </c>
      <c r="B68" s="313" t="s">
        <v>97</v>
      </c>
      <c r="C68" s="314"/>
      <c r="D68" s="314"/>
      <c r="E68" s="314"/>
      <c r="F68" s="314"/>
      <c r="G68" s="314"/>
      <c r="H68" s="315"/>
      <c r="I68" s="268">
        <f>I48</f>
        <v>890.31000000000006</v>
      </c>
      <c r="J68" s="311"/>
      <c r="K68" s="268">
        <f>K48</f>
        <v>1013.64</v>
      </c>
      <c r="L68" s="311"/>
      <c r="M68" s="268">
        <f>M48</f>
        <v>890.31000000000006</v>
      </c>
    </row>
    <row r="69" spans="1:13" s="177" customFormat="1" ht="20.100000000000001" customHeight="1">
      <c r="A69" s="316" t="s">
        <v>109</v>
      </c>
      <c r="B69" s="313" t="s">
        <v>110</v>
      </c>
      <c r="C69" s="314"/>
      <c r="D69" s="314"/>
      <c r="E69" s="314"/>
      <c r="F69" s="314"/>
      <c r="G69" s="314"/>
      <c r="H69" s="315"/>
      <c r="I69" s="268">
        <f>I58</f>
        <v>738.75</v>
      </c>
      <c r="J69" s="311"/>
      <c r="K69" s="268">
        <f>K58</f>
        <v>738.75</v>
      </c>
      <c r="L69" s="311"/>
      <c r="M69" s="268">
        <f>M58</f>
        <v>975.01</v>
      </c>
    </row>
    <row r="70" spans="1:13" s="177" customFormat="1" ht="20.100000000000001" customHeight="1">
      <c r="A70" s="240" t="s">
        <v>448</v>
      </c>
      <c r="B70" s="655" t="s">
        <v>407</v>
      </c>
      <c r="C70" s="656"/>
      <c r="D70" s="656"/>
      <c r="E70" s="656"/>
      <c r="F70" s="656"/>
      <c r="G70" s="656"/>
      <c r="H70" s="657"/>
      <c r="I70" s="268">
        <f>I62</f>
        <v>228.57</v>
      </c>
      <c r="J70" s="270"/>
      <c r="K70" s="268">
        <f>K62</f>
        <v>260.23</v>
      </c>
      <c r="L70" s="270"/>
      <c r="M70" s="268">
        <f>M62</f>
        <v>315.58</v>
      </c>
    </row>
    <row r="71" spans="1:13" s="177" customFormat="1" ht="21" customHeight="1">
      <c r="A71" s="625" t="s">
        <v>92</v>
      </c>
      <c r="B71" s="626"/>
      <c r="C71" s="626"/>
      <c r="D71" s="626"/>
      <c r="E71" s="626"/>
      <c r="F71" s="626"/>
      <c r="G71" s="626"/>
      <c r="H71" s="627"/>
      <c r="I71" s="261">
        <f>SUM(I67:I70)</f>
        <v>2287.7100000000005</v>
      </c>
      <c r="J71" s="312"/>
      <c r="K71" s="261">
        <f>SUM(K67:K70)</f>
        <v>2502.27</v>
      </c>
      <c r="L71" s="312"/>
      <c r="M71" s="261">
        <f>SUM(M67:M70)</f>
        <v>2610.98</v>
      </c>
    </row>
    <row r="72" spans="1:13" s="177" customFormat="1" ht="20.100000000000001" customHeight="1">
      <c r="A72" s="634" t="s">
        <v>116</v>
      </c>
      <c r="B72" s="635"/>
      <c r="C72" s="635"/>
      <c r="D72" s="635"/>
      <c r="E72" s="635"/>
      <c r="F72" s="635"/>
      <c r="G72" s="635"/>
      <c r="H72" s="635"/>
      <c r="I72" s="635"/>
      <c r="J72" s="635"/>
      <c r="K72" s="635"/>
      <c r="L72" s="635"/>
      <c r="M72" s="636"/>
    </row>
    <row r="73" spans="1:13" s="177" customFormat="1" ht="20.100000000000001" customHeight="1">
      <c r="A73" s="249">
        <v>3</v>
      </c>
      <c r="B73" s="586" t="s">
        <v>117</v>
      </c>
      <c r="C73" s="586"/>
      <c r="D73" s="586"/>
      <c r="E73" s="586"/>
      <c r="F73" s="586"/>
      <c r="G73" s="586"/>
      <c r="H73" s="586"/>
      <c r="I73" s="240" t="s">
        <v>84</v>
      </c>
      <c r="J73" s="269"/>
      <c r="K73" s="250" t="s">
        <v>84</v>
      </c>
      <c r="L73" s="269"/>
      <c r="M73" s="251" t="s">
        <v>84</v>
      </c>
    </row>
    <row r="74" spans="1:13" s="177" customFormat="1" ht="20.100000000000001" customHeight="1">
      <c r="A74" s="235" t="s">
        <v>58</v>
      </c>
      <c r="B74" s="590" t="s">
        <v>118</v>
      </c>
      <c r="C74" s="590"/>
      <c r="D74" s="590"/>
      <c r="E74" s="590"/>
      <c r="F74" s="590"/>
      <c r="G74" s="590"/>
      <c r="H74" s="476">
        <v>4.1999999999999997E-3</v>
      </c>
      <c r="I74" s="259">
        <f>TRUNC($I$28*H74,2)</f>
        <v>9.25</v>
      </c>
      <c r="J74" s="270"/>
      <c r="K74" s="253">
        <f>TRUNC($K$28*H74,2)</f>
        <v>10.53</v>
      </c>
      <c r="L74" s="270"/>
      <c r="M74" s="254">
        <f>TRUNC($M$28*H74,2)</f>
        <v>9.25</v>
      </c>
    </row>
    <row r="75" spans="1:13" s="177" customFormat="1" ht="21.6" customHeight="1">
      <c r="A75" s="235" t="s">
        <v>60</v>
      </c>
      <c r="B75" s="590" t="s">
        <v>119</v>
      </c>
      <c r="C75" s="590"/>
      <c r="D75" s="590"/>
      <c r="E75" s="590"/>
      <c r="F75" s="590"/>
      <c r="G75" s="590"/>
      <c r="H75" s="459">
        <f>H47*H74</f>
        <v>3.3599999999999998E-4</v>
      </c>
      <c r="I75" s="259">
        <f>TRUNC(I28*H75,2)</f>
        <v>0.74</v>
      </c>
      <c r="J75" s="270"/>
      <c r="K75" s="253">
        <f>TRUNC(K28*H75,2)</f>
        <v>0.84</v>
      </c>
      <c r="L75" s="270"/>
      <c r="M75" s="254">
        <f>TRUNC(M28*H75,2)</f>
        <v>0.74</v>
      </c>
    </row>
    <row r="76" spans="1:13" s="177" customFormat="1" ht="26.25" customHeight="1">
      <c r="A76" s="235" t="s">
        <v>63</v>
      </c>
      <c r="B76" s="585" t="s">
        <v>120</v>
      </c>
      <c r="C76" s="585"/>
      <c r="D76" s="585"/>
      <c r="E76" s="585"/>
      <c r="F76" s="585"/>
      <c r="G76" s="585"/>
      <c r="H76" s="255">
        <v>1.9439999999999999E-2</v>
      </c>
      <c r="I76" s="253">
        <f>TRUNC(($I$28*H76),2)</f>
        <v>42.84</v>
      </c>
      <c r="J76" s="587"/>
      <c r="K76" s="300">
        <f>TRUNC(($K$28*H76),2)</f>
        <v>48.78</v>
      </c>
      <c r="L76" s="270"/>
      <c r="M76" s="254">
        <f>TRUNC(($M$28*H76),2)</f>
        <v>42.84</v>
      </c>
    </row>
    <row r="77" spans="1:13" s="177" customFormat="1" ht="26.25" customHeight="1">
      <c r="A77" s="235" t="s">
        <v>65</v>
      </c>
      <c r="B77" s="585" t="s">
        <v>121</v>
      </c>
      <c r="C77" s="585"/>
      <c r="D77" s="585"/>
      <c r="E77" s="585"/>
      <c r="F77" s="585"/>
      <c r="G77" s="585"/>
      <c r="H77" s="459">
        <f>H48*H76</f>
        <v>6.5707200000000004E-3</v>
      </c>
      <c r="I77" s="253">
        <f>TRUNC(I28*H77,2)</f>
        <v>14.48</v>
      </c>
      <c r="J77" s="587"/>
      <c r="K77" s="300">
        <f>TRUNC(K28*H77,2)</f>
        <v>16.48</v>
      </c>
      <c r="L77" s="270"/>
      <c r="M77" s="254">
        <f>TRUNC(M28*H77,2)</f>
        <v>14.48</v>
      </c>
    </row>
    <row r="78" spans="1:13" s="177" customFormat="1" ht="28.15" customHeight="1">
      <c r="A78" s="235" t="s">
        <v>49</v>
      </c>
      <c r="B78" s="585" t="s">
        <v>122</v>
      </c>
      <c r="C78" s="585"/>
      <c r="D78" s="585"/>
      <c r="E78" s="585"/>
      <c r="F78" s="585"/>
      <c r="G78" s="585"/>
      <c r="H78" s="255">
        <v>0.04</v>
      </c>
      <c r="I78" s="253">
        <f>TRUNC(($I$28*H78),2)</f>
        <v>88.16</v>
      </c>
      <c r="J78" s="587"/>
      <c r="K78" s="300">
        <f>TRUNC(($K$28*H78),2)</f>
        <v>100.37</v>
      </c>
      <c r="L78" s="270"/>
      <c r="M78" s="254">
        <f>TRUNC(($M$28*H78),2)</f>
        <v>88.16</v>
      </c>
    </row>
    <row r="79" spans="1:13" s="177" customFormat="1" ht="20.25" customHeight="1" thickBot="1">
      <c r="A79" s="594" t="s">
        <v>92</v>
      </c>
      <c r="B79" s="594"/>
      <c r="C79" s="594"/>
      <c r="D79" s="594"/>
      <c r="E79" s="594"/>
      <c r="F79" s="594"/>
      <c r="G79" s="594"/>
      <c r="H79" s="460">
        <f>SUM(H74:H78)</f>
        <v>7.0546720000000007E-2</v>
      </c>
      <c r="I79" s="271">
        <f>SUM(I74:I78)</f>
        <v>155.47</v>
      </c>
      <c r="J79" s="587"/>
      <c r="K79" s="301">
        <f>SUM(K74:K78)</f>
        <v>177</v>
      </c>
      <c r="L79" s="270"/>
      <c r="M79" s="258">
        <f>SUM(M74:M78)</f>
        <v>155.47</v>
      </c>
    </row>
    <row r="80" spans="1:13" s="177" customFormat="1" ht="20.25" customHeight="1" thickTop="1" thickBot="1">
      <c r="A80" s="580" t="s">
        <v>451</v>
      </c>
      <c r="B80" s="581"/>
      <c r="C80" s="581"/>
      <c r="D80" s="581"/>
      <c r="E80" s="581"/>
      <c r="F80" s="582"/>
      <c r="G80" s="583" t="s">
        <v>94</v>
      </c>
      <c r="H80" s="584"/>
      <c r="I80" s="302">
        <f>I28</f>
        <v>2204.0500000000002</v>
      </c>
      <c r="J80" s="588"/>
      <c r="K80" s="323">
        <f>K28</f>
        <v>2509.35</v>
      </c>
      <c r="L80" s="324"/>
      <c r="M80" s="323">
        <f>M28</f>
        <v>2204.0500000000002</v>
      </c>
    </row>
    <row r="81" spans="1:1003" s="177" customFormat="1" ht="20.100000000000001" customHeight="1" thickTop="1">
      <c r="A81" s="634" t="s">
        <v>124</v>
      </c>
      <c r="B81" s="635"/>
      <c r="C81" s="635"/>
      <c r="D81" s="635"/>
      <c r="E81" s="635"/>
      <c r="F81" s="635"/>
      <c r="G81" s="635"/>
      <c r="H81" s="635"/>
      <c r="I81" s="635"/>
      <c r="J81" s="635"/>
      <c r="K81" s="649"/>
      <c r="L81" s="635"/>
      <c r="M81" s="650"/>
    </row>
    <row r="82" spans="1:1003" s="233" customFormat="1" ht="20.100000000000001" customHeight="1">
      <c r="A82" s="573" t="s">
        <v>405</v>
      </c>
      <c r="B82" s="574"/>
      <c r="C82" s="574"/>
      <c r="D82" s="574"/>
      <c r="E82" s="574"/>
      <c r="F82" s="574"/>
      <c r="G82" s="574"/>
      <c r="H82" s="574"/>
      <c r="I82" s="574"/>
      <c r="J82" s="574"/>
      <c r="K82" s="574"/>
      <c r="L82" s="574"/>
      <c r="M82" s="575"/>
      <c r="N82" s="177"/>
      <c r="O82" s="177"/>
      <c r="P82" s="177"/>
      <c r="Q82" s="177"/>
      <c r="R82" s="177"/>
      <c r="S82" s="177"/>
      <c r="T82" s="177"/>
      <c r="U82" s="177"/>
      <c r="V82" s="177"/>
      <c r="W82" s="177"/>
      <c r="X82" s="177"/>
      <c r="Y82" s="177"/>
      <c r="Z82" s="177"/>
      <c r="AA82" s="177"/>
      <c r="AB82" s="177"/>
      <c r="AC82" s="177"/>
      <c r="AD82" s="177"/>
      <c r="AE82" s="177"/>
      <c r="AF82" s="177"/>
      <c r="AG82" s="177"/>
      <c r="AH82" s="177"/>
      <c r="AI82" s="177"/>
      <c r="AJ82" s="177"/>
      <c r="AK82" s="177"/>
      <c r="AL82" s="177"/>
      <c r="AM82" s="177"/>
      <c r="AN82" s="177"/>
      <c r="AO82" s="177"/>
      <c r="AP82" s="177"/>
      <c r="AQ82" s="177"/>
      <c r="AR82" s="177"/>
      <c r="AS82" s="177"/>
      <c r="AT82" s="177"/>
      <c r="AU82" s="177"/>
      <c r="AV82" s="177"/>
      <c r="AW82" s="177"/>
      <c r="AX82" s="177"/>
      <c r="AY82" s="177"/>
      <c r="AZ82" s="177"/>
      <c r="BA82" s="177"/>
      <c r="BB82" s="177"/>
      <c r="BC82" s="177"/>
      <c r="BD82" s="177"/>
      <c r="BE82" s="177"/>
      <c r="BF82" s="177"/>
      <c r="BG82" s="177"/>
      <c r="BH82" s="177"/>
      <c r="BI82" s="177"/>
      <c r="BJ82" s="177"/>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c r="DH82" s="177"/>
      <c r="DI82" s="177"/>
      <c r="DJ82" s="177"/>
      <c r="DK82" s="177"/>
      <c r="DL82" s="177"/>
      <c r="DM82" s="177"/>
      <c r="DN82" s="177"/>
      <c r="DO82" s="177"/>
      <c r="DP82" s="177"/>
      <c r="DQ82" s="177"/>
      <c r="DR82" s="177"/>
      <c r="DS82" s="177"/>
      <c r="DT82" s="177"/>
      <c r="DU82" s="177"/>
      <c r="DV82" s="177"/>
      <c r="DW82" s="177"/>
      <c r="DX82" s="177"/>
      <c r="DY82" s="177"/>
      <c r="DZ82" s="177"/>
      <c r="EA82" s="177"/>
      <c r="EB82" s="177"/>
      <c r="EC82" s="177"/>
      <c r="ED82" s="177"/>
      <c r="EE82" s="177"/>
      <c r="EF82" s="177"/>
      <c r="EG82" s="177"/>
      <c r="EH82" s="177"/>
      <c r="EI82" s="177"/>
      <c r="EJ82" s="177"/>
      <c r="EK82" s="177"/>
      <c r="EL82" s="177"/>
      <c r="EM82" s="177"/>
      <c r="EN82" s="177"/>
      <c r="EO82" s="177"/>
      <c r="EP82" s="177"/>
      <c r="EQ82" s="177"/>
      <c r="ER82" s="177"/>
      <c r="ES82" s="177"/>
      <c r="ET82" s="177"/>
      <c r="EU82" s="177"/>
      <c r="EV82" s="177"/>
      <c r="EW82" s="177"/>
      <c r="EX82" s="177"/>
      <c r="EY82" s="177"/>
      <c r="EZ82" s="177"/>
      <c r="FA82" s="177"/>
      <c r="FB82" s="177"/>
      <c r="FC82" s="177"/>
      <c r="FD82" s="177"/>
      <c r="FE82" s="177"/>
      <c r="FF82" s="177"/>
      <c r="FG82" s="177"/>
      <c r="FH82" s="177"/>
      <c r="FI82" s="177"/>
      <c r="FJ82" s="177"/>
      <c r="FK82" s="177"/>
      <c r="FL82" s="177"/>
      <c r="FM82" s="177"/>
      <c r="FN82" s="177"/>
      <c r="FO82" s="177"/>
      <c r="FP82" s="177"/>
      <c r="FQ82" s="177"/>
      <c r="FR82" s="177"/>
      <c r="FS82" s="177"/>
      <c r="FT82" s="177"/>
      <c r="FU82" s="177"/>
      <c r="FV82" s="177"/>
      <c r="FW82" s="177"/>
      <c r="FX82" s="177"/>
      <c r="FY82" s="177"/>
      <c r="FZ82" s="177"/>
      <c r="GA82" s="177"/>
      <c r="GB82" s="177"/>
      <c r="GC82" s="177"/>
      <c r="GD82" s="177"/>
      <c r="GE82" s="177"/>
      <c r="GF82" s="177"/>
      <c r="GG82" s="177"/>
      <c r="GH82" s="177"/>
      <c r="GI82" s="177"/>
      <c r="GJ82" s="177"/>
      <c r="GK82" s="177"/>
      <c r="GL82" s="177"/>
      <c r="GM82" s="177"/>
      <c r="GN82" s="177"/>
      <c r="GO82" s="177"/>
      <c r="GP82" s="177"/>
      <c r="GQ82" s="177"/>
      <c r="GR82" s="177"/>
      <c r="GS82" s="177"/>
      <c r="GT82" s="177"/>
      <c r="GU82" s="177"/>
      <c r="GV82" s="177"/>
      <c r="GW82" s="177"/>
      <c r="GX82" s="177"/>
      <c r="GY82" s="177"/>
      <c r="GZ82" s="177"/>
      <c r="HA82" s="177"/>
      <c r="HB82" s="177"/>
      <c r="HC82" s="177"/>
      <c r="HD82" s="177"/>
      <c r="HE82" s="177"/>
      <c r="HF82" s="177"/>
      <c r="HG82" s="177"/>
      <c r="HH82" s="177"/>
      <c r="HI82" s="177"/>
      <c r="HJ82" s="177"/>
      <c r="HK82" s="177"/>
      <c r="HL82" s="177"/>
      <c r="HM82" s="177"/>
      <c r="HN82" s="177"/>
      <c r="HO82" s="177"/>
      <c r="HP82" s="177"/>
      <c r="HQ82" s="177"/>
      <c r="HR82" s="177"/>
      <c r="HS82" s="177"/>
      <c r="HT82" s="177"/>
      <c r="HU82" s="177"/>
      <c r="HV82" s="177"/>
      <c r="HW82" s="177"/>
      <c r="HX82" s="177"/>
      <c r="HY82" s="177"/>
      <c r="HZ82" s="177"/>
      <c r="IA82" s="177"/>
      <c r="IB82" s="177"/>
      <c r="IC82" s="177"/>
      <c r="ID82" s="177"/>
      <c r="IE82" s="177"/>
      <c r="IF82" s="177"/>
      <c r="IG82" s="177"/>
      <c r="IH82" s="177"/>
      <c r="II82" s="177"/>
      <c r="IJ82" s="177"/>
      <c r="IK82" s="177"/>
      <c r="IL82" s="177"/>
      <c r="IM82" s="177"/>
      <c r="IN82" s="177"/>
      <c r="IO82" s="177"/>
      <c r="IP82" s="177"/>
      <c r="IQ82" s="177"/>
      <c r="IR82" s="177"/>
      <c r="IS82" s="177"/>
      <c r="IT82" s="177"/>
      <c r="IU82" s="177"/>
      <c r="IV82" s="177"/>
      <c r="IW82" s="177"/>
      <c r="IX82" s="177"/>
      <c r="IY82" s="177"/>
      <c r="IZ82" s="177"/>
      <c r="JA82" s="177"/>
      <c r="JB82" s="177"/>
      <c r="JC82" s="177"/>
      <c r="JD82" s="177"/>
      <c r="JE82" s="177"/>
      <c r="JF82" s="177"/>
      <c r="JG82" s="177"/>
      <c r="JH82" s="177"/>
      <c r="JI82" s="177"/>
      <c r="JJ82" s="177"/>
      <c r="JK82" s="177"/>
      <c r="JL82" s="177"/>
      <c r="JM82" s="177"/>
      <c r="JN82" s="177"/>
      <c r="JO82" s="177"/>
      <c r="JP82" s="177"/>
      <c r="JQ82" s="177"/>
      <c r="JR82" s="177"/>
      <c r="JS82" s="177"/>
      <c r="JT82" s="177"/>
      <c r="JU82" s="177"/>
      <c r="JV82" s="177"/>
      <c r="JW82" s="177"/>
      <c r="JX82" s="177"/>
      <c r="JY82" s="177"/>
      <c r="JZ82" s="177"/>
      <c r="KA82" s="177"/>
      <c r="KB82" s="177"/>
      <c r="KC82" s="177"/>
      <c r="KD82" s="177"/>
      <c r="KE82" s="177"/>
      <c r="KF82" s="177"/>
      <c r="KG82" s="177"/>
      <c r="KH82" s="177"/>
      <c r="KI82" s="177"/>
      <c r="KJ82" s="177"/>
      <c r="KK82" s="177"/>
      <c r="KL82" s="177"/>
      <c r="KM82" s="177"/>
      <c r="KN82" s="177"/>
      <c r="KO82" s="177"/>
      <c r="KP82" s="177"/>
      <c r="KQ82" s="177"/>
      <c r="KR82" s="177"/>
      <c r="KS82" s="177"/>
      <c r="KT82" s="177"/>
      <c r="KU82" s="177"/>
      <c r="KV82" s="177"/>
      <c r="KW82" s="177"/>
      <c r="KX82" s="177"/>
      <c r="KY82" s="177"/>
      <c r="KZ82" s="177"/>
      <c r="LA82" s="177"/>
      <c r="LB82" s="177"/>
      <c r="LC82" s="177"/>
      <c r="LD82" s="177"/>
      <c r="LE82" s="177"/>
      <c r="LF82" s="177"/>
      <c r="LG82" s="177"/>
      <c r="LH82" s="177"/>
      <c r="LI82" s="177"/>
      <c r="LJ82" s="177"/>
      <c r="LK82" s="177"/>
      <c r="LL82" s="177"/>
      <c r="LM82" s="177"/>
      <c r="LN82" s="177"/>
      <c r="LO82" s="177"/>
      <c r="LP82" s="177"/>
      <c r="LQ82" s="177"/>
      <c r="LR82" s="177"/>
      <c r="LS82" s="177"/>
      <c r="LT82" s="177"/>
      <c r="LU82" s="177"/>
      <c r="LV82" s="177"/>
      <c r="LW82" s="177"/>
      <c r="LX82" s="177"/>
      <c r="LY82" s="177"/>
      <c r="LZ82" s="177"/>
      <c r="MA82" s="177"/>
      <c r="MB82" s="177"/>
      <c r="MC82" s="177"/>
      <c r="MD82" s="177"/>
      <c r="ME82" s="177"/>
      <c r="MF82" s="177"/>
      <c r="MG82" s="177"/>
      <c r="MH82" s="177"/>
      <c r="MI82" s="177"/>
      <c r="MJ82" s="177"/>
      <c r="MK82" s="177"/>
      <c r="ML82" s="177"/>
      <c r="MM82" s="177"/>
      <c r="MN82" s="177"/>
      <c r="MO82" s="177"/>
      <c r="MP82" s="177"/>
      <c r="MQ82" s="177"/>
      <c r="MR82" s="177"/>
      <c r="MS82" s="177"/>
      <c r="MT82" s="177"/>
      <c r="MU82" s="177"/>
      <c r="MV82" s="177"/>
      <c r="MW82" s="177"/>
      <c r="MX82" s="177"/>
      <c r="MY82" s="177"/>
      <c r="MZ82" s="177"/>
      <c r="NA82" s="177"/>
      <c r="NB82" s="177"/>
      <c r="NC82" s="177"/>
      <c r="ND82" s="177"/>
      <c r="NE82" s="177"/>
      <c r="NF82" s="177"/>
      <c r="NG82" s="177"/>
      <c r="NH82" s="177"/>
      <c r="NI82" s="177"/>
      <c r="NJ82" s="177"/>
      <c r="NK82" s="177"/>
      <c r="NL82" s="177"/>
      <c r="NM82" s="177"/>
      <c r="NN82" s="177"/>
      <c r="NO82" s="177"/>
      <c r="NP82" s="177"/>
      <c r="NQ82" s="177"/>
      <c r="NR82" s="177"/>
      <c r="NS82" s="177"/>
      <c r="NT82" s="177"/>
      <c r="NU82" s="177"/>
      <c r="NV82" s="177"/>
      <c r="NW82" s="177"/>
      <c r="NX82" s="177"/>
      <c r="NY82" s="177"/>
      <c r="NZ82" s="177"/>
      <c r="OA82" s="177"/>
      <c r="OB82" s="177"/>
      <c r="OC82" s="177"/>
      <c r="OD82" s="177"/>
      <c r="OE82" s="177"/>
      <c r="OF82" s="177"/>
      <c r="OG82" s="177"/>
      <c r="OH82" s="177"/>
      <c r="OI82" s="177"/>
      <c r="OJ82" s="177"/>
      <c r="OK82" s="177"/>
      <c r="OL82" s="177"/>
      <c r="OM82" s="177"/>
      <c r="ON82" s="177"/>
      <c r="OO82" s="177"/>
      <c r="OP82" s="177"/>
      <c r="OQ82" s="177"/>
      <c r="OR82" s="177"/>
      <c r="OS82" s="177"/>
      <c r="OT82" s="177"/>
      <c r="OU82" s="177"/>
      <c r="OV82" s="177"/>
      <c r="OW82" s="177"/>
      <c r="OX82" s="177"/>
      <c r="OY82" s="177"/>
      <c r="OZ82" s="177"/>
      <c r="PA82" s="177"/>
      <c r="PB82" s="177"/>
      <c r="PC82" s="177"/>
      <c r="PD82" s="177"/>
      <c r="PE82" s="177"/>
      <c r="PF82" s="177"/>
      <c r="PG82" s="177"/>
      <c r="PH82" s="177"/>
      <c r="PI82" s="177"/>
      <c r="PJ82" s="177"/>
      <c r="PK82" s="177"/>
      <c r="PL82" s="177"/>
      <c r="PM82" s="177"/>
      <c r="PN82" s="177"/>
      <c r="PO82" s="177"/>
      <c r="PP82" s="177"/>
      <c r="PQ82" s="177"/>
      <c r="PR82" s="177"/>
      <c r="PS82" s="177"/>
      <c r="PT82" s="177"/>
      <c r="PU82" s="177"/>
      <c r="PV82" s="177"/>
      <c r="PW82" s="177"/>
      <c r="PX82" s="177"/>
      <c r="PY82" s="177"/>
      <c r="PZ82" s="177"/>
      <c r="QA82" s="177"/>
      <c r="QB82" s="177"/>
      <c r="QC82" s="177"/>
      <c r="QD82" s="177"/>
      <c r="QE82" s="177"/>
      <c r="QF82" s="177"/>
      <c r="QG82" s="177"/>
      <c r="QH82" s="177"/>
      <c r="QI82" s="177"/>
      <c r="QJ82" s="177"/>
      <c r="QK82" s="177"/>
      <c r="QL82" s="177"/>
      <c r="QM82" s="177"/>
      <c r="QN82" s="177"/>
      <c r="QO82" s="177"/>
      <c r="QP82" s="177"/>
      <c r="QQ82" s="177"/>
      <c r="QR82" s="177"/>
      <c r="QS82" s="177"/>
      <c r="QT82" s="177"/>
      <c r="QU82" s="177"/>
      <c r="QV82" s="177"/>
      <c r="QW82" s="177"/>
      <c r="QX82" s="177"/>
      <c r="QY82" s="177"/>
      <c r="QZ82" s="177"/>
      <c r="RA82" s="177"/>
      <c r="RB82" s="177"/>
      <c r="RC82" s="177"/>
      <c r="RD82" s="177"/>
      <c r="RE82" s="177"/>
      <c r="RF82" s="177"/>
      <c r="RG82" s="177"/>
      <c r="RH82" s="177"/>
      <c r="RI82" s="177"/>
      <c r="RJ82" s="177"/>
      <c r="RK82" s="177"/>
      <c r="RL82" s="177"/>
      <c r="RM82" s="177"/>
      <c r="RN82" s="177"/>
      <c r="RO82" s="177"/>
      <c r="RP82" s="177"/>
      <c r="RQ82" s="177"/>
      <c r="RR82" s="177"/>
      <c r="RS82" s="177"/>
      <c r="RT82" s="177"/>
      <c r="RU82" s="177"/>
      <c r="RV82" s="177"/>
      <c r="RW82" s="177"/>
      <c r="RX82" s="177"/>
      <c r="RY82" s="177"/>
      <c r="RZ82" s="177"/>
      <c r="SA82" s="177"/>
      <c r="SB82" s="177"/>
      <c r="SC82" s="177"/>
      <c r="SD82" s="177"/>
      <c r="SE82" s="177"/>
      <c r="SF82" s="177"/>
      <c r="SG82" s="177"/>
      <c r="SH82" s="177"/>
      <c r="SI82" s="177"/>
      <c r="SJ82" s="177"/>
      <c r="SK82" s="177"/>
      <c r="SL82" s="177"/>
      <c r="SM82" s="177"/>
      <c r="SN82" s="177"/>
      <c r="SO82" s="177"/>
      <c r="SP82" s="177"/>
      <c r="SQ82" s="177"/>
      <c r="SR82" s="177"/>
      <c r="SS82" s="177"/>
      <c r="ST82" s="177"/>
      <c r="SU82" s="177"/>
      <c r="SV82" s="177"/>
      <c r="SW82" s="177"/>
      <c r="SX82" s="177"/>
      <c r="SY82" s="177"/>
      <c r="SZ82" s="177"/>
      <c r="TA82" s="177"/>
      <c r="TB82" s="177"/>
      <c r="TC82" s="177"/>
      <c r="TD82" s="177"/>
      <c r="TE82" s="177"/>
      <c r="TF82" s="177"/>
      <c r="TG82" s="177"/>
      <c r="TH82" s="177"/>
      <c r="TI82" s="177"/>
      <c r="TJ82" s="177"/>
      <c r="TK82" s="177"/>
      <c r="TL82" s="177"/>
      <c r="TM82" s="177"/>
      <c r="TN82" s="177"/>
      <c r="TO82" s="177"/>
      <c r="TP82" s="177"/>
      <c r="TQ82" s="177"/>
      <c r="TR82" s="177"/>
      <c r="TS82" s="177"/>
      <c r="TT82" s="177"/>
      <c r="TU82" s="177"/>
      <c r="TV82" s="177"/>
      <c r="TW82" s="177"/>
      <c r="TX82" s="177"/>
      <c r="TY82" s="177"/>
      <c r="TZ82" s="177"/>
      <c r="UA82" s="177"/>
      <c r="UB82" s="177"/>
      <c r="UC82" s="177"/>
      <c r="UD82" s="177"/>
      <c r="UE82" s="177"/>
      <c r="UF82" s="177"/>
      <c r="UG82" s="177"/>
      <c r="UH82" s="177"/>
      <c r="UI82" s="177"/>
      <c r="UJ82" s="177"/>
      <c r="UK82" s="177"/>
      <c r="UL82" s="177"/>
      <c r="UM82" s="177"/>
      <c r="UN82" s="177"/>
      <c r="UO82" s="177"/>
      <c r="UP82" s="177"/>
      <c r="UQ82" s="177"/>
      <c r="UR82" s="177"/>
      <c r="US82" s="177"/>
      <c r="UT82" s="177"/>
      <c r="UU82" s="177"/>
      <c r="UV82" s="177"/>
      <c r="UW82" s="177"/>
      <c r="UX82" s="177"/>
      <c r="UY82" s="177"/>
      <c r="UZ82" s="177"/>
      <c r="VA82" s="177"/>
      <c r="VB82" s="177"/>
      <c r="VC82" s="177"/>
      <c r="VD82" s="177"/>
      <c r="VE82" s="177"/>
      <c r="VF82" s="177"/>
      <c r="VG82" s="177"/>
      <c r="VH82" s="177"/>
      <c r="VI82" s="177"/>
      <c r="VJ82" s="177"/>
      <c r="VK82" s="177"/>
      <c r="VL82" s="177"/>
      <c r="VM82" s="177"/>
      <c r="VN82" s="177"/>
      <c r="VO82" s="177"/>
      <c r="VP82" s="177"/>
      <c r="VQ82" s="177"/>
      <c r="VR82" s="177"/>
      <c r="VS82" s="177"/>
      <c r="VT82" s="177"/>
      <c r="VU82" s="177"/>
      <c r="VV82" s="177"/>
      <c r="VW82" s="177"/>
      <c r="VX82" s="177"/>
      <c r="VY82" s="177"/>
      <c r="VZ82" s="177"/>
      <c r="WA82" s="177"/>
      <c r="WB82" s="177"/>
      <c r="WC82" s="177"/>
      <c r="WD82" s="177"/>
      <c r="WE82" s="177"/>
      <c r="WF82" s="177"/>
      <c r="WG82" s="177"/>
      <c r="WH82" s="177"/>
      <c r="WI82" s="177"/>
      <c r="WJ82" s="177"/>
      <c r="WK82" s="177"/>
      <c r="WL82" s="177"/>
      <c r="WM82" s="177"/>
      <c r="WN82" s="177"/>
      <c r="WO82" s="177"/>
      <c r="WP82" s="177"/>
      <c r="WQ82" s="177"/>
      <c r="WR82" s="177"/>
      <c r="WS82" s="177"/>
      <c r="WT82" s="177"/>
      <c r="WU82" s="177"/>
      <c r="WV82" s="177"/>
      <c r="WW82" s="177"/>
      <c r="WX82" s="177"/>
      <c r="WY82" s="177"/>
      <c r="WZ82" s="177"/>
      <c r="XA82" s="177"/>
      <c r="XB82" s="177"/>
      <c r="XC82" s="177"/>
      <c r="XD82" s="177"/>
      <c r="XE82" s="177"/>
      <c r="XF82" s="177"/>
      <c r="XG82" s="177"/>
      <c r="XH82" s="177"/>
      <c r="XI82" s="177"/>
      <c r="XJ82" s="177"/>
      <c r="XK82" s="177"/>
      <c r="XL82" s="177"/>
      <c r="XM82" s="177"/>
      <c r="XN82" s="177"/>
      <c r="XO82" s="177"/>
      <c r="XP82" s="177"/>
      <c r="XQ82" s="177"/>
      <c r="XR82" s="177"/>
      <c r="XS82" s="177"/>
      <c r="XT82" s="177"/>
      <c r="XU82" s="177"/>
      <c r="XV82" s="177"/>
      <c r="XW82" s="177"/>
      <c r="XX82" s="177"/>
      <c r="XY82" s="177"/>
      <c r="XZ82" s="177"/>
      <c r="YA82" s="177"/>
      <c r="YB82" s="177"/>
      <c r="YC82" s="177"/>
      <c r="YD82" s="177"/>
      <c r="YE82" s="177"/>
      <c r="YF82" s="177"/>
      <c r="YG82" s="177"/>
      <c r="YH82" s="177"/>
      <c r="YI82" s="177"/>
      <c r="YJ82" s="177"/>
      <c r="YK82" s="177"/>
      <c r="YL82" s="177"/>
      <c r="YM82" s="177"/>
      <c r="YN82" s="177"/>
      <c r="YO82" s="177"/>
      <c r="YP82" s="177"/>
      <c r="YQ82" s="177"/>
      <c r="YR82" s="177"/>
      <c r="YS82" s="177"/>
      <c r="YT82" s="177"/>
      <c r="YU82" s="177"/>
      <c r="YV82" s="177"/>
      <c r="YW82" s="177"/>
      <c r="YX82" s="177"/>
      <c r="YY82" s="177"/>
      <c r="YZ82" s="177"/>
      <c r="ZA82" s="177"/>
      <c r="ZB82" s="177"/>
      <c r="ZC82" s="177"/>
      <c r="ZD82" s="177"/>
      <c r="ZE82" s="177"/>
      <c r="ZF82" s="177"/>
      <c r="ZG82" s="177"/>
      <c r="ZH82" s="177"/>
      <c r="ZI82" s="177"/>
      <c r="ZJ82" s="177"/>
      <c r="ZK82" s="177"/>
      <c r="ZL82" s="177"/>
      <c r="ZM82" s="177"/>
      <c r="ZN82" s="177"/>
      <c r="ZO82" s="177"/>
      <c r="ZP82" s="177"/>
      <c r="ZQ82" s="177"/>
      <c r="ZR82" s="177"/>
      <c r="ZS82" s="177"/>
      <c r="ZT82" s="177"/>
      <c r="ZU82" s="177"/>
      <c r="ZV82" s="177"/>
      <c r="ZW82" s="177"/>
      <c r="ZX82" s="177"/>
      <c r="ZY82" s="177"/>
      <c r="ZZ82" s="177"/>
      <c r="AAA82" s="177"/>
      <c r="AAB82" s="177"/>
      <c r="AAC82" s="177"/>
      <c r="AAD82" s="177"/>
      <c r="AAE82" s="177"/>
      <c r="AAF82" s="177"/>
      <c r="AAG82" s="177"/>
      <c r="AAH82" s="177"/>
      <c r="AAI82" s="177"/>
      <c r="AAJ82" s="177"/>
      <c r="AAK82" s="177"/>
      <c r="AAL82" s="177"/>
      <c r="AAM82" s="177"/>
      <c r="AAN82" s="177"/>
      <c r="AAO82" s="177"/>
      <c r="AAP82" s="177"/>
      <c r="AAQ82" s="177"/>
      <c r="AAR82" s="177"/>
      <c r="AAS82" s="177"/>
      <c r="AAT82" s="177"/>
      <c r="AAU82" s="177"/>
      <c r="AAV82" s="177"/>
      <c r="AAW82" s="177"/>
      <c r="AAX82" s="177"/>
      <c r="AAY82" s="177"/>
      <c r="AAZ82" s="177"/>
      <c r="ABA82" s="177"/>
      <c r="ABB82" s="177"/>
      <c r="ABC82" s="177"/>
      <c r="ABD82" s="177"/>
      <c r="ABE82" s="177"/>
      <c r="ABF82" s="177"/>
      <c r="ABG82" s="177"/>
      <c r="ABH82" s="177"/>
      <c r="ABI82" s="177"/>
      <c r="ABJ82" s="177"/>
      <c r="ABK82" s="177"/>
      <c r="ABL82" s="177"/>
      <c r="ABM82" s="177"/>
      <c r="ABN82" s="177"/>
      <c r="ABO82" s="177"/>
      <c r="ABP82" s="177"/>
      <c r="ABQ82" s="177"/>
      <c r="ABR82" s="177"/>
      <c r="ABS82" s="177"/>
      <c r="ABT82" s="177"/>
      <c r="ABU82" s="177"/>
      <c r="ABV82" s="177"/>
      <c r="ABW82" s="177"/>
      <c r="ABX82" s="177"/>
      <c r="ABY82" s="177"/>
      <c r="ABZ82" s="177"/>
      <c r="ACA82" s="177"/>
      <c r="ACB82" s="177"/>
      <c r="ACC82" s="177"/>
      <c r="ACD82" s="177"/>
      <c r="ACE82" s="177"/>
      <c r="ACF82" s="177"/>
      <c r="ACG82" s="177"/>
      <c r="ACH82" s="177"/>
      <c r="ACI82" s="177"/>
      <c r="ACJ82" s="177"/>
      <c r="ACK82" s="177"/>
      <c r="ACL82" s="177"/>
      <c r="ACM82" s="177"/>
      <c r="ACN82" s="177"/>
      <c r="ACO82" s="177"/>
      <c r="ACP82" s="177"/>
      <c r="ACQ82" s="177"/>
      <c r="ACR82" s="177"/>
      <c r="ACS82" s="177"/>
      <c r="ACT82" s="177"/>
      <c r="ACU82" s="177"/>
      <c r="ACV82" s="177"/>
      <c r="ACW82" s="177"/>
      <c r="ACX82" s="177"/>
      <c r="ACY82" s="177"/>
      <c r="ACZ82" s="177"/>
      <c r="ADA82" s="177"/>
      <c r="ADB82" s="177"/>
      <c r="ADC82" s="177"/>
      <c r="ADD82" s="177"/>
      <c r="ADE82" s="177"/>
      <c r="ADF82" s="177"/>
      <c r="ADG82" s="177"/>
      <c r="ADH82" s="177"/>
      <c r="ADI82" s="177"/>
      <c r="ADJ82" s="177"/>
      <c r="ADK82" s="177"/>
      <c r="ADL82" s="177"/>
      <c r="ADM82" s="177"/>
      <c r="ADN82" s="177"/>
      <c r="ADO82" s="177"/>
      <c r="ADP82" s="177"/>
      <c r="ADQ82" s="177"/>
      <c r="ADR82" s="177"/>
      <c r="ADS82" s="177"/>
      <c r="ADT82" s="177"/>
      <c r="ADU82" s="177"/>
      <c r="ADV82" s="177"/>
      <c r="ADW82" s="177"/>
      <c r="ADX82" s="177"/>
      <c r="ADY82" s="177"/>
      <c r="ADZ82" s="177"/>
      <c r="AEA82" s="177"/>
      <c r="AEB82" s="177"/>
      <c r="AEC82" s="177"/>
      <c r="AED82" s="177"/>
      <c r="AEE82" s="177"/>
      <c r="AEF82" s="177"/>
      <c r="AEG82" s="177"/>
      <c r="AEH82" s="177"/>
      <c r="AEI82" s="177"/>
      <c r="AEJ82" s="177"/>
      <c r="AEK82" s="177"/>
      <c r="AEL82" s="177"/>
      <c r="AEM82" s="177"/>
      <c r="AEN82" s="177"/>
      <c r="AEO82" s="177"/>
      <c r="AEP82" s="177"/>
      <c r="AEQ82" s="177"/>
      <c r="AER82" s="177"/>
      <c r="AES82" s="177"/>
      <c r="AET82" s="177"/>
      <c r="AEU82" s="177"/>
      <c r="AEV82" s="177"/>
      <c r="AEW82" s="177"/>
      <c r="AEX82" s="177"/>
      <c r="AEY82" s="177"/>
      <c r="AEZ82" s="177"/>
      <c r="AFA82" s="177"/>
      <c r="AFB82" s="177"/>
      <c r="AFC82" s="177"/>
      <c r="AFD82" s="177"/>
      <c r="AFE82" s="177"/>
      <c r="AFF82" s="177"/>
      <c r="AFG82" s="177"/>
      <c r="AFH82" s="177"/>
      <c r="AFI82" s="177"/>
      <c r="AFJ82" s="177"/>
      <c r="AFK82" s="177"/>
      <c r="AFL82" s="177"/>
      <c r="AFM82" s="177"/>
      <c r="AFN82" s="177"/>
      <c r="AFO82" s="177"/>
      <c r="AFP82" s="177"/>
      <c r="AFQ82" s="177"/>
      <c r="AFR82" s="177"/>
      <c r="AFS82" s="177"/>
      <c r="AFT82" s="177"/>
      <c r="AFU82" s="177"/>
      <c r="AFV82" s="177"/>
      <c r="AFW82" s="177"/>
      <c r="AFX82" s="177"/>
      <c r="AFY82" s="177"/>
      <c r="AFZ82" s="177"/>
      <c r="AGA82" s="177"/>
      <c r="AGB82" s="177"/>
      <c r="AGC82" s="177"/>
      <c r="AGD82" s="177"/>
      <c r="AGE82" s="177"/>
      <c r="AGF82" s="177"/>
      <c r="AGG82" s="177"/>
      <c r="AGH82" s="177"/>
      <c r="AGI82" s="177"/>
      <c r="AGJ82" s="177"/>
      <c r="AGK82" s="177"/>
      <c r="AGL82" s="177"/>
      <c r="AGM82" s="177"/>
      <c r="AGN82" s="177"/>
      <c r="AGO82" s="177"/>
      <c r="AGP82" s="177"/>
      <c r="AGQ82" s="177"/>
      <c r="AGR82" s="177"/>
      <c r="AGS82" s="177"/>
      <c r="AGT82" s="177"/>
      <c r="AGU82" s="177"/>
      <c r="AGV82" s="177"/>
      <c r="AGW82" s="177"/>
      <c r="AGX82" s="177"/>
      <c r="AGY82" s="177"/>
      <c r="AGZ82" s="177"/>
      <c r="AHA82" s="177"/>
      <c r="AHB82" s="177"/>
      <c r="AHC82" s="177"/>
      <c r="AHD82" s="177"/>
      <c r="AHE82" s="177"/>
      <c r="AHF82" s="177"/>
      <c r="AHG82" s="177"/>
      <c r="AHH82" s="177"/>
      <c r="AHI82" s="177"/>
      <c r="AHJ82" s="177"/>
      <c r="AHK82" s="177"/>
      <c r="AHL82" s="177"/>
      <c r="AHM82" s="177"/>
      <c r="AHN82" s="177"/>
      <c r="AHO82" s="177"/>
      <c r="AHP82" s="177"/>
      <c r="AHQ82" s="177"/>
      <c r="AHR82" s="177"/>
      <c r="AHS82" s="177"/>
      <c r="AHT82" s="177"/>
      <c r="AHU82" s="177"/>
      <c r="AHV82" s="177"/>
      <c r="AHW82" s="177"/>
      <c r="AHX82" s="177"/>
      <c r="AHY82" s="177"/>
      <c r="AHZ82" s="177"/>
      <c r="AIA82" s="177"/>
      <c r="AIB82" s="177"/>
      <c r="AIC82" s="177"/>
      <c r="AID82" s="177"/>
      <c r="AIE82" s="177"/>
      <c r="AIF82" s="177"/>
      <c r="AIG82" s="177"/>
      <c r="AIH82" s="177"/>
      <c r="AII82" s="177"/>
      <c r="AIJ82" s="177"/>
      <c r="AIK82" s="177"/>
      <c r="AIL82" s="177"/>
      <c r="AIM82" s="177"/>
      <c r="AIN82" s="177"/>
      <c r="AIO82" s="177"/>
      <c r="AIP82" s="177"/>
      <c r="AIQ82" s="177"/>
      <c r="AIR82" s="177"/>
      <c r="AIS82" s="177"/>
      <c r="AIT82" s="177"/>
      <c r="AIU82" s="177"/>
      <c r="AIV82" s="177"/>
      <c r="AIW82" s="177"/>
      <c r="AIX82" s="177"/>
      <c r="AIY82" s="177"/>
      <c r="AIZ82" s="177"/>
      <c r="AJA82" s="177"/>
      <c r="AJB82" s="177"/>
      <c r="AJC82" s="177"/>
      <c r="AJD82" s="177"/>
      <c r="AJE82" s="177"/>
      <c r="AJF82" s="177"/>
      <c r="AJG82" s="177"/>
      <c r="AJH82" s="177"/>
      <c r="AJI82" s="177"/>
      <c r="AJJ82" s="177"/>
      <c r="AJK82" s="177"/>
      <c r="AJL82" s="177"/>
      <c r="AJM82" s="177"/>
      <c r="AJN82" s="177"/>
      <c r="AJO82" s="177"/>
      <c r="AJP82" s="177"/>
      <c r="AJQ82" s="177"/>
      <c r="AJR82" s="177"/>
      <c r="AJS82" s="177"/>
      <c r="AJT82" s="177"/>
      <c r="AJU82" s="177"/>
      <c r="AJV82" s="177"/>
      <c r="AJW82" s="177"/>
      <c r="AJX82" s="177"/>
      <c r="AJY82" s="177"/>
      <c r="AJZ82" s="177"/>
      <c r="AKA82" s="177"/>
      <c r="AKB82" s="177"/>
      <c r="AKC82" s="177"/>
      <c r="AKD82" s="177"/>
      <c r="AKE82" s="177"/>
      <c r="AKF82" s="177"/>
      <c r="AKG82" s="177"/>
      <c r="AKH82" s="177"/>
      <c r="AKI82" s="177"/>
      <c r="AKJ82" s="177"/>
      <c r="AKK82" s="177"/>
      <c r="AKL82" s="177"/>
      <c r="AKM82" s="177"/>
      <c r="AKN82" s="177"/>
      <c r="AKO82" s="177"/>
      <c r="AKP82" s="177"/>
      <c r="AKQ82" s="177"/>
      <c r="AKR82" s="177"/>
      <c r="AKS82" s="177"/>
      <c r="AKT82" s="177"/>
      <c r="AKU82" s="177"/>
      <c r="AKV82" s="177"/>
      <c r="AKW82" s="177"/>
      <c r="AKX82" s="177"/>
      <c r="AKY82" s="177"/>
      <c r="AKZ82" s="177"/>
      <c r="ALA82" s="177"/>
      <c r="ALB82" s="177"/>
      <c r="ALC82" s="177"/>
      <c r="ALD82" s="177"/>
      <c r="ALE82" s="177"/>
      <c r="ALF82" s="177"/>
      <c r="ALG82" s="177"/>
      <c r="ALH82" s="177"/>
      <c r="ALI82" s="177"/>
      <c r="ALJ82" s="177"/>
      <c r="ALK82" s="177"/>
      <c r="ALL82" s="177"/>
      <c r="ALM82" s="177"/>
      <c r="ALN82" s="177"/>
      <c r="ALO82" s="177"/>
    </row>
    <row r="83" spans="1:1003" s="177" customFormat="1" ht="20.100000000000001" customHeight="1">
      <c r="A83" s="249" t="s">
        <v>125</v>
      </c>
      <c r="B83" s="589" t="s">
        <v>126</v>
      </c>
      <c r="C83" s="589"/>
      <c r="D83" s="589"/>
      <c r="E83" s="589"/>
      <c r="F83" s="589"/>
      <c r="G83" s="589"/>
      <c r="H83" s="589"/>
      <c r="I83" s="240" t="s">
        <v>84</v>
      </c>
      <c r="J83" s="622"/>
      <c r="K83" s="240" t="s">
        <v>84</v>
      </c>
      <c r="L83" s="622"/>
      <c r="M83" s="240" t="s">
        <v>84</v>
      </c>
    </row>
    <row r="84" spans="1:1003" s="177" customFormat="1" ht="25.15" customHeight="1">
      <c r="A84" s="235" t="s">
        <v>58</v>
      </c>
      <c r="B84" s="585" t="s">
        <v>395</v>
      </c>
      <c r="C84" s="585"/>
      <c r="D84" s="585"/>
      <c r="E84" s="585"/>
      <c r="F84" s="585"/>
      <c r="G84" s="585"/>
      <c r="H84" s="255">
        <f>((1+1/3)/12)/12</f>
        <v>9.2592592592592587E-3</v>
      </c>
      <c r="I84" s="259">
        <f>TRUNC($I$80*H84,2)</f>
        <v>20.399999999999999</v>
      </c>
      <c r="J84" s="619"/>
      <c r="K84" s="259">
        <f>TRUNC($K$80*H84,2)</f>
        <v>23.23</v>
      </c>
      <c r="L84" s="619"/>
      <c r="M84" s="259">
        <f>TRUNC($M$80*H84,2)</f>
        <v>20.399999999999999</v>
      </c>
    </row>
    <row r="85" spans="1:1003" s="177" customFormat="1" ht="20.100000000000001" customHeight="1">
      <c r="A85" s="235" t="s">
        <v>60</v>
      </c>
      <c r="B85" s="590" t="s">
        <v>127</v>
      </c>
      <c r="C85" s="590"/>
      <c r="D85" s="590"/>
      <c r="E85" s="590"/>
      <c r="F85" s="590"/>
      <c r="G85" s="590"/>
      <c r="H85" s="461">
        <f>(1/30)/12</f>
        <v>2.7777777777777779E-3</v>
      </c>
      <c r="I85" s="259">
        <f t="shared" ref="I85:I89" si="3">TRUNC($I$80*H85,2)</f>
        <v>6.12</v>
      </c>
      <c r="J85" s="619"/>
      <c r="K85" s="259">
        <f t="shared" ref="K85:K89" si="4">TRUNC($K$80*H85,2)</f>
        <v>6.97</v>
      </c>
      <c r="L85" s="619"/>
      <c r="M85" s="259">
        <f t="shared" ref="M85:M89" si="5">TRUNC($M$80*H85,2)</f>
        <v>6.12</v>
      </c>
      <c r="N85" s="438" t="s">
        <v>440</v>
      </c>
    </row>
    <row r="86" spans="1:1003" s="177" customFormat="1" ht="20.100000000000001" customHeight="1">
      <c r="A86" s="235" t="s">
        <v>63</v>
      </c>
      <c r="B86" s="590" t="s">
        <v>404</v>
      </c>
      <c r="C86" s="590"/>
      <c r="D86" s="590"/>
      <c r="E86" s="590"/>
      <c r="F86" s="590"/>
      <c r="G86" s="590"/>
      <c r="H86" s="461">
        <f>0.1111*0.02*0.333</f>
        <v>7.3992600000000002E-4</v>
      </c>
      <c r="I86" s="259">
        <f t="shared" si="3"/>
        <v>1.63</v>
      </c>
      <c r="J86" s="619"/>
      <c r="K86" s="259">
        <f t="shared" si="4"/>
        <v>1.85</v>
      </c>
      <c r="L86" s="619"/>
      <c r="M86" s="259">
        <f t="shared" si="5"/>
        <v>1.63</v>
      </c>
      <c r="N86" s="438" t="s">
        <v>443</v>
      </c>
    </row>
    <row r="87" spans="1:1003" s="177" customFormat="1" ht="20.100000000000001" customHeight="1">
      <c r="A87" s="235" t="s">
        <v>65</v>
      </c>
      <c r="B87" s="577" t="s">
        <v>403</v>
      </c>
      <c r="C87" s="578"/>
      <c r="D87" s="578"/>
      <c r="E87" s="578"/>
      <c r="F87" s="578"/>
      <c r="G87" s="579"/>
      <c r="H87" s="461">
        <f>5/30/12*0.015</f>
        <v>2.0833333333333332E-4</v>
      </c>
      <c r="I87" s="259">
        <f t="shared" si="3"/>
        <v>0.45</v>
      </c>
      <c r="J87" s="619"/>
      <c r="K87" s="259">
        <f t="shared" si="4"/>
        <v>0.52</v>
      </c>
      <c r="L87" s="619"/>
      <c r="M87" s="259">
        <f t="shared" si="5"/>
        <v>0.45</v>
      </c>
      <c r="N87" s="438" t="s">
        <v>441</v>
      </c>
    </row>
    <row r="88" spans="1:1003" s="177" customFormat="1" ht="20.100000000000001" customHeight="1">
      <c r="A88" s="235" t="s">
        <v>49</v>
      </c>
      <c r="B88" s="590" t="s">
        <v>128</v>
      </c>
      <c r="C88" s="590"/>
      <c r="D88" s="590"/>
      <c r="E88" s="590"/>
      <c r="F88" s="590"/>
      <c r="G88" s="590"/>
      <c r="H88" s="461">
        <f>15/30/12*0.08</f>
        <v>3.3333333333333331E-3</v>
      </c>
      <c r="I88" s="259">
        <f t="shared" si="3"/>
        <v>7.34</v>
      </c>
      <c r="J88" s="619"/>
      <c r="K88" s="259">
        <f t="shared" si="4"/>
        <v>8.36</v>
      </c>
      <c r="L88" s="619"/>
      <c r="M88" s="259">
        <f t="shared" si="5"/>
        <v>7.34</v>
      </c>
      <c r="N88" s="438" t="s">
        <v>442</v>
      </c>
    </row>
    <row r="89" spans="1:1003" s="177" customFormat="1" ht="20.100000000000001" customHeight="1">
      <c r="A89" s="235" t="s">
        <v>102</v>
      </c>
      <c r="B89" s="590" t="s">
        <v>129</v>
      </c>
      <c r="C89" s="590"/>
      <c r="D89" s="590"/>
      <c r="E89" s="590"/>
      <c r="F89" s="590"/>
      <c r="G89" s="590"/>
      <c r="H89" s="461">
        <f>5/30/12</f>
        <v>1.3888888888888888E-2</v>
      </c>
      <c r="I89" s="259">
        <f t="shared" si="3"/>
        <v>30.61</v>
      </c>
      <c r="J89" s="619"/>
      <c r="K89" s="259">
        <f t="shared" si="4"/>
        <v>34.85</v>
      </c>
      <c r="L89" s="619"/>
      <c r="M89" s="259">
        <f t="shared" si="5"/>
        <v>30.61</v>
      </c>
      <c r="N89" s="438" t="s">
        <v>444</v>
      </c>
    </row>
    <row r="90" spans="1:1003" s="177" customFormat="1" ht="20.100000000000001" customHeight="1">
      <c r="A90" s="651" t="s">
        <v>92</v>
      </c>
      <c r="B90" s="664"/>
      <c r="C90" s="664"/>
      <c r="D90" s="664"/>
      <c r="E90" s="664"/>
      <c r="F90" s="664"/>
      <c r="G90" s="664"/>
      <c r="H90" s="665"/>
      <c r="I90" s="261">
        <f>SUM(I84:I89)</f>
        <v>66.55</v>
      </c>
      <c r="J90" s="623"/>
      <c r="K90" s="261">
        <f>SUM(K84:K89)</f>
        <v>75.78</v>
      </c>
      <c r="L90" s="623"/>
      <c r="M90" s="261">
        <f>SUM(M84:M89)</f>
        <v>66.55</v>
      </c>
    </row>
    <row r="92" spans="1:1003" s="177" customFormat="1" ht="18" customHeight="1">
      <c r="A92" s="573" t="s">
        <v>130</v>
      </c>
      <c r="B92" s="574"/>
      <c r="C92" s="574"/>
      <c r="D92" s="574"/>
      <c r="E92" s="574"/>
      <c r="F92" s="574"/>
      <c r="G92" s="574"/>
      <c r="H92" s="574"/>
      <c r="I92" s="574"/>
      <c r="J92" s="574"/>
      <c r="K92" s="574"/>
      <c r="L92" s="574"/>
      <c r="M92" s="575"/>
    </row>
    <row r="93" spans="1:1003" s="177" customFormat="1" ht="20.100000000000001" customHeight="1">
      <c r="A93" s="239">
        <v>5</v>
      </c>
      <c r="B93" s="667" t="s">
        <v>131</v>
      </c>
      <c r="C93" s="667"/>
      <c r="D93" s="667"/>
      <c r="E93" s="667"/>
      <c r="F93" s="667"/>
      <c r="G93" s="667"/>
      <c r="H93" s="667"/>
      <c r="I93" s="240" t="s">
        <v>84</v>
      </c>
      <c r="J93" s="567"/>
      <c r="K93" s="240" t="s">
        <v>84</v>
      </c>
      <c r="L93" s="567"/>
      <c r="M93" s="240" t="s">
        <v>84</v>
      </c>
    </row>
    <row r="94" spans="1:1003" s="177" customFormat="1" ht="20.100000000000001" customHeight="1">
      <c r="A94" s="235" t="s">
        <v>58</v>
      </c>
      <c r="B94" s="590" t="s">
        <v>132</v>
      </c>
      <c r="C94" s="590"/>
      <c r="D94" s="590"/>
      <c r="E94" s="590"/>
      <c r="F94" s="590"/>
      <c r="G94" s="590"/>
      <c r="H94" s="590"/>
      <c r="I94" s="264">
        <f>'Uniforme '!F12</f>
        <v>80.819333333333333</v>
      </c>
      <c r="J94" s="538"/>
      <c r="K94" s="264">
        <f>'Uniforme '!F12</f>
        <v>80.819333333333333</v>
      </c>
      <c r="L94" s="538"/>
      <c r="M94" s="264">
        <f>'Uniforme '!F12</f>
        <v>80.819333333333333</v>
      </c>
    </row>
    <row r="95" spans="1:1003" s="177" customFormat="1" ht="20.100000000000001" customHeight="1">
      <c r="A95" s="235" t="s">
        <v>60</v>
      </c>
      <c r="B95" s="577" t="s">
        <v>417</v>
      </c>
      <c r="C95" s="578"/>
      <c r="D95" s="578"/>
      <c r="E95" s="578"/>
      <c r="F95" s="578"/>
      <c r="G95" s="578"/>
      <c r="H95" s="579"/>
      <c r="I95" s="264">
        <f>'EPIs e materiais'!G16</f>
        <v>52.38048055555555</v>
      </c>
      <c r="J95" s="538"/>
      <c r="K95" s="264">
        <f>'EPIs e materiais'!G16</f>
        <v>52.38048055555555</v>
      </c>
      <c r="L95" s="538"/>
      <c r="M95" s="264">
        <f>'EPIs e materiais'!G15</f>
        <v>104.7609611111111</v>
      </c>
    </row>
    <row r="96" spans="1:1003" s="177" customFormat="1" ht="20.100000000000001" customHeight="1">
      <c r="A96" s="235" t="s">
        <v>63</v>
      </c>
      <c r="B96" s="577" t="s">
        <v>133</v>
      </c>
      <c r="C96" s="578"/>
      <c r="D96" s="578"/>
      <c r="E96" s="578"/>
      <c r="F96" s="578"/>
      <c r="G96" s="578"/>
      <c r="H96" s="579"/>
      <c r="I96" s="264"/>
      <c r="J96" s="538"/>
      <c r="K96" s="264"/>
      <c r="L96" s="538"/>
      <c r="M96" s="264"/>
    </row>
    <row r="97" spans="1:13" s="177" customFormat="1" ht="20.100000000000001" customHeight="1">
      <c r="A97" s="594" t="s">
        <v>134</v>
      </c>
      <c r="B97" s="594"/>
      <c r="C97" s="594"/>
      <c r="D97" s="594"/>
      <c r="E97" s="594"/>
      <c r="F97" s="594"/>
      <c r="G97" s="594"/>
      <c r="H97" s="594"/>
      <c r="I97" s="261">
        <f>TRUNC(SUM(I94:I95),2)</f>
        <v>133.19</v>
      </c>
      <c r="J97" s="538"/>
      <c r="K97" s="261">
        <f>TRUNC(SUM(K94:K95),2)</f>
        <v>133.19</v>
      </c>
      <c r="L97" s="538"/>
      <c r="M97" s="261">
        <f>TRUNC(SUM(M94:M95),2)</f>
        <v>185.58</v>
      </c>
    </row>
    <row r="98" spans="1:13" s="177" customFormat="1" ht="20.100000000000001" customHeight="1" thickBot="1">
      <c r="A98" s="598" t="s">
        <v>135</v>
      </c>
      <c r="B98" s="598"/>
      <c r="C98" s="598"/>
      <c r="D98" s="598"/>
      <c r="E98" s="598"/>
      <c r="F98" s="598"/>
      <c r="G98" s="598"/>
      <c r="H98" s="598"/>
      <c r="I98" s="598"/>
      <c r="J98" s="538"/>
      <c r="K98" s="272"/>
      <c r="L98" s="538"/>
      <c r="M98" s="272"/>
    </row>
    <row r="99" spans="1:13" s="177" customFormat="1" ht="20.100000000000001" customHeight="1" thickTop="1" thickBot="1">
      <c r="A99" s="580" t="s">
        <v>136</v>
      </c>
      <c r="B99" s="581"/>
      <c r="C99" s="581"/>
      <c r="D99" s="581"/>
      <c r="E99" s="581"/>
      <c r="F99" s="582"/>
      <c r="G99" s="583" t="s">
        <v>94</v>
      </c>
      <c r="H99" s="584"/>
      <c r="I99" s="273">
        <f>I28</f>
        <v>2204.0500000000002</v>
      </c>
      <c r="J99" s="538"/>
      <c r="K99" s="274">
        <f>K28</f>
        <v>2509.35</v>
      </c>
      <c r="L99" s="538"/>
      <c r="M99" s="274">
        <f>M28</f>
        <v>2204.0500000000002</v>
      </c>
    </row>
    <row r="100" spans="1:13" s="177" customFormat="1" ht="20.100000000000001" customHeight="1" thickTop="1" thickBot="1">
      <c r="A100" s="599"/>
      <c r="B100" s="600"/>
      <c r="C100" s="600"/>
      <c r="D100" s="600"/>
      <c r="E100" s="600"/>
      <c r="F100" s="601"/>
      <c r="G100" s="583" t="s">
        <v>137</v>
      </c>
      <c r="H100" s="584"/>
      <c r="I100" s="273">
        <f>I71</f>
        <v>2287.7100000000005</v>
      </c>
      <c r="J100" s="538"/>
      <c r="K100" s="274">
        <f>K71</f>
        <v>2502.27</v>
      </c>
      <c r="L100" s="538"/>
      <c r="M100" s="274">
        <f>M71</f>
        <v>2610.98</v>
      </c>
    </row>
    <row r="101" spans="1:13" s="177" customFormat="1" ht="20.100000000000001" customHeight="1" thickTop="1" thickBot="1">
      <c r="A101" s="599"/>
      <c r="B101" s="600"/>
      <c r="C101" s="600"/>
      <c r="D101" s="600"/>
      <c r="E101" s="600"/>
      <c r="F101" s="601"/>
      <c r="G101" s="583" t="s">
        <v>138</v>
      </c>
      <c r="H101" s="584"/>
      <c r="I101" s="273">
        <f>I79</f>
        <v>155.47</v>
      </c>
      <c r="J101" s="538"/>
      <c r="K101" s="274">
        <f>K79</f>
        <v>177</v>
      </c>
      <c r="L101" s="538"/>
      <c r="M101" s="274">
        <f>M79</f>
        <v>155.47</v>
      </c>
    </row>
    <row r="102" spans="1:13" s="177" customFormat="1" ht="20.100000000000001" customHeight="1" thickTop="1" thickBot="1">
      <c r="A102" s="599"/>
      <c r="B102" s="600"/>
      <c r="C102" s="600"/>
      <c r="D102" s="600"/>
      <c r="E102" s="600"/>
      <c r="F102" s="601"/>
      <c r="G102" s="583" t="s">
        <v>139</v>
      </c>
      <c r="H102" s="584"/>
      <c r="I102" s="273">
        <f>I90</f>
        <v>66.55</v>
      </c>
      <c r="J102" s="538"/>
      <c r="K102" s="274">
        <f>K90</f>
        <v>75.78</v>
      </c>
      <c r="L102" s="538"/>
      <c r="M102" s="274">
        <f>M90</f>
        <v>66.55</v>
      </c>
    </row>
    <row r="103" spans="1:13" s="177" customFormat="1" ht="20.100000000000001" customHeight="1" thickTop="1" thickBot="1">
      <c r="A103" s="599"/>
      <c r="B103" s="600"/>
      <c r="C103" s="600"/>
      <c r="D103" s="600"/>
      <c r="E103" s="600"/>
      <c r="F103" s="601"/>
      <c r="G103" s="583" t="s">
        <v>140</v>
      </c>
      <c r="H103" s="584"/>
      <c r="I103" s="273">
        <f>I97</f>
        <v>133.19</v>
      </c>
      <c r="J103" s="538"/>
      <c r="K103" s="274">
        <f>K97</f>
        <v>133.19</v>
      </c>
      <c r="L103" s="538"/>
      <c r="M103" s="274">
        <f>M97</f>
        <v>185.58</v>
      </c>
    </row>
    <row r="104" spans="1:13" s="177" customFormat="1" ht="20.100000000000001" customHeight="1" thickTop="1" thickBot="1">
      <c r="A104" s="602"/>
      <c r="B104" s="603"/>
      <c r="C104" s="603"/>
      <c r="D104" s="603"/>
      <c r="E104" s="603"/>
      <c r="F104" s="604"/>
      <c r="G104" s="583" t="s">
        <v>123</v>
      </c>
      <c r="H104" s="584"/>
      <c r="I104" s="273">
        <f>SUM(I99:I103)</f>
        <v>4846.97</v>
      </c>
      <c r="J104" s="568"/>
      <c r="K104" s="274">
        <f>SUM(K99:K103)</f>
        <v>5397.5899999999992</v>
      </c>
      <c r="L104" s="568"/>
      <c r="M104" s="274">
        <f>SUM(M99:M103)</f>
        <v>5222.630000000001</v>
      </c>
    </row>
    <row r="105" spans="1:13" s="177" customFormat="1" ht="20.100000000000001" customHeight="1" thickTop="1">
      <c r="A105" s="637" t="s">
        <v>141</v>
      </c>
      <c r="B105" s="638"/>
      <c r="C105" s="638"/>
      <c r="D105" s="638"/>
      <c r="E105" s="638"/>
      <c r="F105" s="638"/>
      <c r="G105" s="638"/>
      <c r="H105" s="638"/>
      <c r="I105" s="638"/>
      <c r="J105" s="638"/>
      <c r="K105" s="638"/>
      <c r="L105" s="638"/>
      <c r="M105" s="638"/>
    </row>
    <row r="106" spans="1:13" s="177" customFormat="1" ht="25.15" customHeight="1">
      <c r="A106" s="249">
        <v>6</v>
      </c>
      <c r="B106" s="589" t="s">
        <v>142</v>
      </c>
      <c r="C106" s="589"/>
      <c r="D106" s="589"/>
      <c r="E106" s="589"/>
      <c r="F106" s="589"/>
      <c r="G106" s="589"/>
      <c r="H106" s="276" t="s">
        <v>83</v>
      </c>
      <c r="I106" s="277" t="s">
        <v>84</v>
      </c>
      <c r="J106" s="534"/>
      <c r="K106" s="277" t="s">
        <v>84</v>
      </c>
      <c r="L106" s="534"/>
      <c r="M106" s="277" t="s">
        <v>84</v>
      </c>
    </row>
    <row r="107" spans="1:13" s="177" customFormat="1" ht="22.9" customHeight="1">
      <c r="A107" s="235" t="s">
        <v>58</v>
      </c>
      <c r="B107" s="590" t="s">
        <v>143</v>
      </c>
      <c r="C107" s="590"/>
      <c r="D107" s="590"/>
      <c r="E107" s="590"/>
      <c r="F107" s="590"/>
      <c r="G107" s="590"/>
      <c r="H107" s="466">
        <v>0</v>
      </c>
      <c r="I107" s="259">
        <f>ROUND(H107*I127,2)</f>
        <v>0</v>
      </c>
      <c r="J107" s="535"/>
      <c r="K107" s="259">
        <f>ROUND(H107*K127,2)</f>
        <v>0</v>
      </c>
      <c r="L107" s="535"/>
      <c r="M107" s="259">
        <f>ROUND(H107*M127,2)</f>
        <v>0</v>
      </c>
    </row>
    <row r="108" spans="1:13" s="177" customFormat="1" ht="21" customHeight="1">
      <c r="A108" s="235" t="s">
        <v>60</v>
      </c>
      <c r="B108" s="590" t="s">
        <v>144</v>
      </c>
      <c r="C108" s="590"/>
      <c r="D108" s="590"/>
      <c r="E108" s="590"/>
      <c r="F108" s="590"/>
      <c r="G108" s="590"/>
      <c r="H108" s="466">
        <v>0</v>
      </c>
      <c r="I108" s="259">
        <f>ROUND((I127+I107)*H108,2)</f>
        <v>0</v>
      </c>
      <c r="J108" s="535"/>
      <c r="K108" s="259">
        <f>ROUND((K127+K107)*H108,2)</f>
        <v>0</v>
      </c>
      <c r="L108" s="535"/>
      <c r="M108" s="259">
        <f>ROUND((M127+M107)*H108,2)</f>
        <v>0</v>
      </c>
    </row>
    <row r="109" spans="1:13" s="177" customFormat="1" ht="25.5" customHeight="1">
      <c r="A109" s="280"/>
      <c r="B109" s="591" t="s">
        <v>145</v>
      </c>
      <c r="C109" s="592"/>
      <c r="D109" s="592"/>
      <c r="E109" s="592"/>
      <c r="F109" s="593"/>
      <c r="G109" s="646" t="s">
        <v>146</v>
      </c>
      <c r="H109" s="647"/>
      <c r="I109" s="281">
        <f>I107+I108+I104</f>
        <v>4846.97</v>
      </c>
      <c r="J109" s="535"/>
      <c r="K109" s="281">
        <f>K107+K108+K104</f>
        <v>5397.5899999999992</v>
      </c>
      <c r="L109" s="535"/>
      <c r="M109" s="386">
        <f>M107+M108+M104</f>
        <v>5222.630000000001</v>
      </c>
    </row>
    <row r="110" spans="1:13" s="177" customFormat="1" ht="23.25" customHeight="1">
      <c r="A110" s="555" t="s">
        <v>63</v>
      </c>
      <c r="B110" s="577" t="s">
        <v>147</v>
      </c>
      <c r="C110" s="578"/>
      <c r="D110" s="578"/>
      <c r="E110" s="578"/>
      <c r="F110" s="579"/>
      <c r="G110" s="282">
        <f>(H117*100)</f>
        <v>8.6499999999999986</v>
      </c>
      <c r="H110" s="283">
        <f>+(100-G110)/100</f>
        <v>0.91349999999999998</v>
      </c>
      <c r="I110" s="259">
        <f>I109/H110</f>
        <v>5305.9332238642592</v>
      </c>
      <c r="J110" s="536"/>
      <c r="K110" s="259">
        <f>K109/H110</f>
        <v>5908.6918445539131</v>
      </c>
      <c r="L110" s="536"/>
      <c r="M110" s="259">
        <f>M109/H110</f>
        <v>5717.1647509578561</v>
      </c>
    </row>
    <row r="111" spans="1:13" s="177" customFormat="1" ht="20.100000000000001" customHeight="1">
      <c r="A111" s="555"/>
      <c r="B111" s="284" t="s">
        <v>148</v>
      </c>
      <c r="C111" s="285"/>
      <c r="D111" s="285"/>
      <c r="E111" s="285"/>
      <c r="F111" s="285"/>
      <c r="G111" s="285"/>
      <c r="H111" s="285"/>
      <c r="I111" s="285"/>
      <c r="J111" s="285"/>
      <c r="K111" s="285"/>
      <c r="L111" s="285"/>
      <c r="M111" s="286"/>
    </row>
    <row r="112" spans="1:13" s="177" customFormat="1" ht="27.75" customHeight="1">
      <c r="A112" s="555"/>
      <c r="B112" s="590" t="s">
        <v>396</v>
      </c>
      <c r="C112" s="617"/>
      <c r="D112" s="617"/>
      <c r="E112" s="617"/>
      <c r="F112" s="617"/>
      <c r="G112" s="617"/>
      <c r="H112" s="468">
        <v>6.4999999999999997E-3</v>
      </c>
      <c r="I112" s="259">
        <f>I110*H112</f>
        <v>34.488565955117686</v>
      </c>
      <c r="J112" s="534"/>
      <c r="K112" s="259">
        <f>K110*H112</f>
        <v>38.406496989600434</v>
      </c>
      <c r="L112" s="534"/>
      <c r="M112" s="259">
        <f>M110*H112</f>
        <v>37.161570881226062</v>
      </c>
    </row>
    <row r="113" spans="1:13" s="177" customFormat="1" ht="20.100000000000001" customHeight="1">
      <c r="A113" s="555"/>
      <c r="B113" s="590" t="s">
        <v>397</v>
      </c>
      <c r="C113" s="617"/>
      <c r="D113" s="617"/>
      <c r="E113" s="617"/>
      <c r="F113" s="617"/>
      <c r="G113" s="617"/>
      <c r="H113" s="468">
        <v>0.03</v>
      </c>
      <c r="I113" s="259">
        <f>I110*H113</f>
        <v>159.17799671592778</v>
      </c>
      <c r="J113" s="535"/>
      <c r="K113" s="259">
        <f>K110*H113</f>
        <v>177.26075533661739</v>
      </c>
      <c r="L113" s="535"/>
      <c r="M113" s="259">
        <f>M110*H113</f>
        <v>171.51494252873567</v>
      </c>
    </row>
    <row r="114" spans="1:13" s="177" customFormat="1" ht="20.100000000000001" customHeight="1">
      <c r="A114" s="555"/>
      <c r="B114" s="287" t="s">
        <v>149</v>
      </c>
      <c r="C114" s="288"/>
      <c r="D114" s="288"/>
      <c r="E114" s="288"/>
      <c r="F114" s="288"/>
      <c r="G114" s="288"/>
      <c r="H114" s="469"/>
      <c r="I114" s="259"/>
      <c r="J114" s="535"/>
      <c r="K114" s="259"/>
      <c r="L114" s="535"/>
      <c r="M114" s="259"/>
    </row>
    <row r="115" spans="1:13" s="177" customFormat="1" ht="20.100000000000001" customHeight="1">
      <c r="A115" s="555"/>
      <c r="B115" s="590" t="s">
        <v>398</v>
      </c>
      <c r="C115" s="590"/>
      <c r="D115" s="590"/>
      <c r="E115" s="590"/>
      <c r="F115" s="590"/>
      <c r="G115" s="590"/>
      <c r="H115" s="470">
        <v>0.05</v>
      </c>
      <c r="I115" s="259">
        <f>I110*H115</f>
        <v>265.29666119321297</v>
      </c>
      <c r="J115" s="535"/>
      <c r="K115" s="259">
        <f>K110*H115</f>
        <v>295.43459222769565</v>
      </c>
      <c r="L115" s="535"/>
      <c r="M115" s="259">
        <f>M110*H115</f>
        <v>285.85823754789283</v>
      </c>
    </row>
    <row r="116" spans="1:13" s="177" customFormat="1" ht="20.100000000000001" customHeight="1">
      <c r="A116" s="555"/>
      <c r="B116" s="590" t="s">
        <v>399</v>
      </c>
      <c r="C116" s="590"/>
      <c r="D116" s="590"/>
      <c r="E116" s="590"/>
      <c r="F116" s="590"/>
      <c r="G116" s="590"/>
      <c r="H116" s="468">
        <v>0</v>
      </c>
      <c r="I116" s="259">
        <f>I110*H116</f>
        <v>0</v>
      </c>
      <c r="J116" s="535"/>
      <c r="K116" s="259">
        <f>K110*H116</f>
        <v>0</v>
      </c>
      <c r="L116" s="535"/>
      <c r="M116" s="259">
        <f>M110*H116</f>
        <v>0</v>
      </c>
    </row>
    <row r="117" spans="1:13" s="177" customFormat="1" ht="20.100000000000001" customHeight="1">
      <c r="A117" s="611" t="s">
        <v>150</v>
      </c>
      <c r="B117" s="612"/>
      <c r="C117" s="612"/>
      <c r="D117" s="612"/>
      <c r="E117" s="612"/>
      <c r="F117" s="612"/>
      <c r="G117" s="613"/>
      <c r="H117" s="471">
        <f>SUM(H112:H116)</f>
        <v>8.6499999999999994E-2</v>
      </c>
      <c r="I117" s="259">
        <f>SUM(I112:I116)</f>
        <v>458.96322386425845</v>
      </c>
      <c r="J117" s="535"/>
      <c r="K117" s="259">
        <f>SUM(K112:K116)</f>
        <v>511.10184455391345</v>
      </c>
      <c r="L117" s="535"/>
      <c r="M117" s="259">
        <f>SUM(M112:M116)</f>
        <v>494.53475095785456</v>
      </c>
    </row>
    <row r="118" spans="1:13" s="177" customFormat="1" ht="16.5" customHeight="1">
      <c r="A118" s="651" t="s">
        <v>151</v>
      </c>
      <c r="B118" s="664"/>
      <c r="C118" s="664"/>
      <c r="D118" s="664"/>
      <c r="E118" s="664"/>
      <c r="F118" s="664"/>
      <c r="G118" s="664"/>
      <c r="H118" s="665"/>
      <c r="I118" s="261">
        <f>I107+I108+I117</f>
        <v>458.96322386425845</v>
      </c>
      <c r="J118" s="535"/>
      <c r="K118" s="261">
        <f>K107+K108+K117</f>
        <v>511.10184455391345</v>
      </c>
      <c r="L118" s="535"/>
      <c r="M118" s="261">
        <f>M107+M108+M117</f>
        <v>494.53475095785456</v>
      </c>
    </row>
    <row r="119" spans="1:13" s="177" customFormat="1" ht="20.100000000000001" customHeight="1">
      <c r="A119" s="614" t="s">
        <v>152</v>
      </c>
      <c r="B119" s="615"/>
      <c r="C119" s="615"/>
      <c r="D119" s="615"/>
      <c r="E119" s="615"/>
      <c r="F119" s="615"/>
      <c r="G119" s="615"/>
      <c r="H119" s="616"/>
      <c r="I119" s="418">
        <f>I118</f>
        <v>458.96322386425845</v>
      </c>
      <c r="J119" s="535"/>
      <c r="K119" s="418">
        <f>K118</f>
        <v>511.10184455391345</v>
      </c>
      <c r="L119" s="535"/>
      <c r="M119" s="418">
        <f>M118</f>
        <v>494.53475095785456</v>
      </c>
    </row>
    <row r="120" spans="1:13" s="177" customFormat="1" ht="20.100000000000001" customHeight="1">
      <c r="A120" s="643" t="s">
        <v>153</v>
      </c>
      <c r="B120" s="644"/>
      <c r="C120" s="644"/>
      <c r="D120" s="644"/>
      <c r="E120" s="644"/>
      <c r="F120" s="644"/>
      <c r="G120" s="644"/>
      <c r="H120" s="644"/>
      <c r="I120" s="644"/>
      <c r="J120" s="644"/>
      <c r="K120" s="644"/>
      <c r="L120" s="644"/>
      <c r="M120" s="645"/>
    </row>
    <row r="121" spans="1:13" s="177" customFormat="1" ht="22.15" customHeight="1">
      <c r="A121" s="605" t="s">
        <v>154</v>
      </c>
      <c r="B121" s="605"/>
      <c r="C121" s="605"/>
      <c r="D121" s="605"/>
      <c r="E121" s="605"/>
      <c r="F121" s="605"/>
      <c r="G121" s="605"/>
      <c r="H121" s="605"/>
      <c r="I121" s="327" t="s">
        <v>84</v>
      </c>
      <c r="J121" s="537"/>
      <c r="K121" s="327" t="s">
        <v>84</v>
      </c>
      <c r="L121" s="537"/>
      <c r="M121" s="327" t="s">
        <v>84</v>
      </c>
    </row>
    <row r="122" spans="1:13" s="177" customFormat="1" ht="20.100000000000001" customHeight="1">
      <c r="A122" s="289" t="s">
        <v>58</v>
      </c>
      <c r="B122" s="590" t="s">
        <v>155</v>
      </c>
      <c r="C122" s="590"/>
      <c r="D122" s="590"/>
      <c r="E122" s="590"/>
      <c r="F122" s="590"/>
      <c r="G122" s="590"/>
      <c r="H122" s="590"/>
      <c r="I122" s="259">
        <f>I28</f>
        <v>2204.0500000000002</v>
      </c>
      <c r="J122" s="538"/>
      <c r="K122" s="259">
        <f>K28</f>
        <v>2509.35</v>
      </c>
      <c r="L122" s="538"/>
      <c r="M122" s="259">
        <f>M28</f>
        <v>2204.0500000000002</v>
      </c>
    </row>
    <row r="123" spans="1:13" s="177" customFormat="1" ht="20.100000000000001" customHeight="1">
      <c r="A123" s="289" t="s">
        <v>60</v>
      </c>
      <c r="B123" s="590" t="s">
        <v>156</v>
      </c>
      <c r="C123" s="590"/>
      <c r="D123" s="590"/>
      <c r="E123" s="590"/>
      <c r="F123" s="590"/>
      <c r="G123" s="590"/>
      <c r="H123" s="590"/>
      <c r="I123" s="259">
        <f>I71</f>
        <v>2287.7100000000005</v>
      </c>
      <c r="J123" s="538"/>
      <c r="K123" s="259">
        <f>K71</f>
        <v>2502.27</v>
      </c>
      <c r="L123" s="538"/>
      <c r="M123" s="259">
        <f>M71</f>
        <v>2610.98</v>
      </c>
    </row>
    <row r="124" spans="1:13" s="177" customFormat="1" ht="20.100000000000001" customHeight="1">
      <c r="A124" s="289" t="s">
        <v>63</v>
      </c>
      <c r="B124" s="590" t="s">
        <v>116</v>
      </c>
      <c r="C124" s="590"/>
      <c r="D124" s="590"/>
      <c r="E124" s="590"/>
      <c r="F124" s="590"/>
      <c r="G124" s="590"/>
      <c r="H124" s="590"/>
      <c r="I124" s="259">
        <f>I79</f>
        <v>155.47</v>
      </c>
      <c r="J124" s="538"/>
      <c r="K124" s="259">
        <f>K79</f>
        <v>177</v>
      </c>
      <c r="L124" s="538"/>
      <c r="M124" s="259">
        <f>M79</f>
        <v>155.47</v>
      </c>
    </row>
    <row r="125" spans="1:13" s="177" customFormat="1" ht="20.100000000000001" customHeight="1">
      <c r="A125" s="289" t="s">
        <v>65</v>
      </c>
      <c r="B125" s="590" t="s">
        <v>124</v>
      </c>
      <c r="C125" s="590"/>
      <c r="D125" s="590"/>
      <c r="E125" s="590"/>
      <c r="F125" s="590"/>
      <c r="G125" s="590"/>
      <c r="H125" s="590"/>
      <c r="I125" s="259">
        <f>I90</f>
        <v>66.55</v>
      </c>
      <c r="J125" s="538"/>
      <c r="K125" s="259">
        <f>K90</f>
        <v>75.78</v>
      </c>
      <c r="L125" s="538"/>
      <c r="M125" s="259">
        <f>M90</f>
        <v>66.55</v>
      </c>
    </row>
    <row r="126" spans="1:13" s="177" customFormat="1" ht="20.100000000000001" customHeight="1">
      <c r="A126" s="289" t="s">
        <v>49</v>
      </c>
      <c r="B126" s="590" t="s">
        <v>157</v>
      </c>
      <c r="C126" s="590"/>
      <c r="D126" s="590"/>
      <c r="E126" s="590"/>
      <c r="F126" s="590"/>
      <c r="G126" s="590"/>
      <c r="H126" s="590"/>
      <c r="I126" s="259">
        <f>I97</f>
        <v>133.19</v>
      </c>
      <c r="J126" s="538"/>
      <c r="K126" s="259">
        <f>K97</f>
        <v>133.19</v>
      </c>
      <c r="L126" s="538"/>
      <c r="M126" s="259">
        <f>M97</f>
        <v>185.58</v>
      </c>
    </row>
    <row r="127" spans="1:13" s="177" customFormat="1" ht="20.100000000000001" customHeight="1">
      <c r="A127" s="618" t="s">
        <v>158</v>
      </c>
      <c r="B127" s="618"/>
      <c r="C127" s="618"/>
      <c r="D127" s="618"/>
      <c r="E127" s="618"/>
      <c r="F127" s="618"/>
      <c r="G127" s="618"/>
      <c r="H127" s="618"/>
      <c r="I127" s="268">
        <f>TRUNC(SUM(I122:I126),2)</f>
        <v>4846.97</v>
      </c>
      <c r="J127" s="538"/>
      <c r="K127" s="268">
        <f>TRUNC(SUM(K122:K126),2)</f>
        <v>5397.59</v>
      </c>
      <c r="L127" s="538"/>
      <c r="M127" s="268">
        <f>TRUNC(SUM(M122:M126),2)</f>
        <v>5222.63</v>
      </c>
    </row>
    <row r="128" spans="1:13" s="177" customFormat="1" ht="20.100000000000001" customHeight="1">
      <c r="A128" s="289" t="s">
        <v>102</v>
      </c>
      <c r="B128" s="590" t="s">
        <v>159</v>
      </c>
      <c r="C128" s="590"/>
      <c r="D128" s="590"/>
      <c r="E128" s="590"/>
      <c r="F128" s="590"/>
      <c r="G128" s="590"/>
      <c r="H128" s="590"/>
      <c r="I128" s="290">
        <f>I118</f>
        <v>458.96322386425845</v>
      </c>
      <c r="J128" s="538"/>
      <c r="K128" s="290">
        <f>K118</f>
        <v>511.10184455391345</v>
      </c>
      <c r="L128" s="538"/>
      <c r="M128" s="290">
        <f>M118</f>
        <v>494.53475095785456</v>
      </c>
    </row>
    <row r="129" spans="1:15" s="177" customFormat="1" ht="20.100000000000001" customHeight="1">
      <c r="A129" s="628" t="s">
        <v>358</v>
      </c>
      <c r="B129" s="628"/>
      <c r="C129" s="628"/>
      <c r="D129" s="628"/>
      <c r="E129" s="628"/>
      <c r="F129" s="628"/>
      <c r="G129" s="628"/>
      <c r="H129" s="629"/>
      <c r="I129" s="291">
        <f>+I127+I128</f>
        <v>5305.9332238642583</v>
      </c>
      <c r="J129" s="539"/>
      <c r="K129" s="292">
        <f>+K127+K128</f>
        <v>5908.6918445539141</v>
      </c>
      <c r="L129" s="539"/>
      <c r="M129" s="292">
        <f>+M127+M128</f>
        <v>5717.1647509578543</v>
      </c>
    </row>
    <row r="130" spans="1:15" s="177" customFormat="1" ht="20.100000000000001" customHeight="1">
      <c r="A130" s="595" t="s">
        <v>437</v>
      </c>
      <c r="B130" s="596"/>
      <c r="C130" s="596"/>
      <c r="D130" s="596"/>
      <c r="E130" s="596"/>
      <c r="F130" s="596"/>
      <c r="G130" s="596"/>
      <c r="H130" s="597"/>
      <c r="I130" s="291">
        <f>ROUND(I129*2,2)</f>
        <v>10611.87</v>
      </c>
      <c r="J130" s="293"/>
      <c r="K130" s="292">
        <f>ROUND(K129*2,2)</f>
        <v>11817.38</v>
      </c>
      <c r="L130" s="293"/>
      <c r="M130" s="292">
        <f>M129</f>
        <v>5717.1647509578543</v>
      </c>
    </row>
    <row r="131" spans="1:15" s="177" customFormat="1" ht="20.100000000000001" customHeight="1">
      <c r="A131" s="679" t="s">
        <v>438</v>
      </c>
      <c r="B131" s="679"/>
      <c r="C131" s="679"/>
      <c r="D131" s="679"/>
      <c r="E131" s="679"/>
      <c r="F131" s="679"/>
      <c r="G131" s="679"/>
      <c r="H131" s="680"/>
      <c r="I131" s="382">
        <f>I130*60</f>
        <v>636712.20000000007</v>
      </c>
      <c r="J131" s="293"/>
      <c r="K131" s="383">
        <f>K130*60</f>
        <v>709042.79999999993</v>
      </c>
      <c r="L131" s="293"/>
      <c r="M131" s="383">
        <f>M130*60</f>
        <v>343029.88505747123</v>
      </c>
    </row>
    <row r="132" spans="1:15" s="177" customFormat="1" ht="20.100000000000001" customHeight="1">
      <c r="A132" s="628" t="s">
        <v>472</v>
      </c>
      <c r="B132" s="628"/>
      <c r="C132" s="628"/>
      <c r="D132" s="628"/>
      <c r="E132" s="628"/>
      <c r="F132" s="628"/>
      <c r="G132" s="628"/>
      <c r="H132" s="629"/>
      <c r="I132" s="291">
        <f>I131*I10</f>
        <v>1273424.4000000001</v>
      </c>
      <c r="J132" s="199"/>
      <c r="K132" s="292">
        <f>K131*K10</f>
        <v>1418085.5999999999</v>
      </c>
      <c r="L132" s="199"/>
      <c r="M132" s="292">
        <f>M131*M10</f>
        <v>343029.88505747123</v>
      </c>
      <c r="O132" s="472">
        <f>SUM(I132:M132)</f>
        <v>3034539.8850574712</v>
      </c>
    </row>
  </sheetData>
  <mergeCells count="205">
    <mergeCell ref="EO60:EV60"/>
    <mergeCell ref="EW60:FD60"/>
    <mergeCell ref="FE60:FL60"/>
    <mergeCell ref="FM60:FT60"/>
    <mergeCell ref="FU60:GB60"/>
    <mergeCell ref="GC60:GJ60"/>
    <mergeCell ref="A82:M82"/>
    <mergeCell ref="BU60:CB60"/>
    <mergeCell ref="CC60:CJ60"/>
    <mergeCell ref="CK60:CR60"/>
    <mergeCell ref="CS60:CZ60"/>
    <mergeCell ref="DA60:DH60"/>
    <mergeCell ref="DI60:DP60"/>
    <mergeCell ref="DQ60:DX60"/>
    <mergeCell ref="DY60:EF60"/>
    <mergeCell ref="EG60:EN60"/>
    <mergeCell ref="AW60:BD60"/>
    <mergeCell ref="BE60:BL60"/>
    <mergeCell ref="BM60:BT60"/>
    <mergeCell ref="Y60:AF60"/>
    <mergeCell ref="A1:H2"/>
    <mergeCell ref="A90:H90"/>
    <mergeCell ref="B110:F110"/>
    <mergeCell ref="A59:M59"/>
    <mergeCell ref="B60:H60"/>
    <mergeCell ref="Q60:X60"/>
    <mergeCell ref="B93:H93"/>
    <mergeCell ref="B56:H56"/>
    <mergeCell ref="B96:H96"/>
    <mergeCell ref="B17:H17"/>
    <mergeCell ref="A19:M19"/>
    <mergeCell ref="J22:J28"/>
    <mergeCell ref="I18:K18"/>
    <mergeCell ref="L22:L28"/>
    <mergeCell ref="L39:L48"/>
    <mergeCell ref="B13:H13"/>
    <mergeCell ref="B14:H14"/>
    <mergeCell ref="A35:F37"/>
    <mergeCell ref="G35:H35"/>
    <mergeCell ref="G36:H36"/>
    <mergeCell ref="G37:H37"/>
    <mergeCell ref="B32:G32"/>
    <mergeCell ref="B33:G33"/>
    <mergeCell ref="A34:G34"/>
    <mergeCell ref="A132:H132"/>
    <mergeCell ref="B4:H4"/>
    <mergeCell ref="B12:H12"/>
    <mergeCell ref="A9:F9"/>
    <mergeCell ref="G9:H9"/>
    <mergeCell ref="B5:H5"/>
    <mergeCell ref="B6:H6"/>
    <mergeCell ref="B7:H7"/>
    <mergeCell ref="A10:F10"/>
    <mergeCell ref="G10:H10"/>
    <mergeCell ref="A72:M72"/>
    <mergeCell ref="A105:M105"/>
    <mergeCell ref="A63:M63"/>
    <mergeCell ref="B61:F61"/>
    <mergeCell ref="A120:M120"/>
    <mergeCell ref="G109:H109"/>
    <mergeCell ref="B50:H50"/>
    <mergeCell ref="A81:M81"/>
    <mergeCell ref="A62:H62"/>
    <mergeCell ref="A92:M92"/>
    <mergeCell ref="A64:M64"/>
    <mergeCell ref="B70:H70"/>
    <mergeCell ref="A131:H131"/>
    <mergeCell ref="B128:H128"/>
    <mergeCell ref="GC50:GJ50"/>
    <mergeCell ref="B51:E51"/>
    <mergeCell ref="B54:H54"/>
    <mergeCell ref="B55:H55"/>
    <mergeCell ref="DY50:EF50"/>
    <mergeCell ref="EG50:EN50"/>
    <mergeCell ref="EO50:EV50"/>
    <mergeCell ref="EW50:FD50"/>
    <mergeCell ref="FE50:FL50"/>
    <mergeCell ref="FM50:FT50"/>
    <mergeCell ref="CC50:CJ50"/>
    <mergeCell ref="CK50:CR50"/>
    <mergeCell ref="CS50:CZ50"/>
    <mergeCell ref="DA50:DH50"/>
    <mergeCell ref="DI50:DP50"/>
    <mergeCell ref="DQ50:DX50"/>
    <mergeCell ref="AG50:AN50"/>
    <mergeCell ref="AO50:AV50"/>
    <mergeCell ref="AW50:BD50"/>
    <mergeCell ref="FU50:GB50"/>
    <mergeCell ref="Q50:X50"/>
    <mergeCell ref="BU50:CB50"/>
    <mergeCell ref="J39:J48"/>
    <mergeCell ref="B53:F53"/>
    <mergeCell ref="B23:H23"/>
    <mergeCell ref="Y50:AF50"/>
    <mergeCell ref="BE50:BL50"/>
    <mergeCell ref="BM50:BT50"/>
    <mergeCell ref="J83:J90"/>
    <mergeCell ref="B75:G75"/>
    <mergeCell ref="B86:G86"/>
    <mergeCell ref="L83:L90"/>
    <mergeCell ref="AG60:AN60"/>
    <mergeCell ref="AO60:AV60"/>
    <mergeCell ref="B84:G84"/>
    <mergeCell ref="B85:G85"/>
    <mergeCell ref="B89:G89"/>
    <mergeCell ref="A79:G79"/>
    <mergeCell ref="B83:H83"/>
    <mergeCell ref="B27:G27"/>
    <mergeCell ref="B25:G25"/>
    <mergeCell ref="B57:H57"/>
    <mergeCell ref="B74:G74"/>
    <mergeCell ref="A71:H71"/>
    <mergeCell ref="B66:H66"/>
    <mergeCell ref="J121:J129"/>
    <mergeCell ref="B124:H124"/>
    <mergeCell ref="B125:H125"/>
    <mergeCell ref="A117:G117"/>
    <mergeCell ref="A119:H119"/>
    <mergeCell ref="B115:G115"/>
    <mergeCell ref="B116:G116"/>
    <mergeCell ref="B112:G112"/>
    <mergeCell ref="B113:G113"/>
    <mergeCell ref="B126:H126"/>
    <mergeCell ref="A127:H127"/>
    <mergeCell ref="A129:H129"/>
    <mergeCell ref="A118:H118"/>
    <mergeCell ref="B15:H15"/>
    <mergeCell ref="B18:H18"/>
    <mergeCell ref="A20:H20"/>
    <mergeCell ref="B22:G22"/>
    <mergeCell ref="B16:H16"/>
    <mergeCell ref="B46:G46"/>
    <mergeCell ref="B47:G47"/>
    <mergeCell ref="A48:G48"/>
    <mergeCell ref="A28:H28"/>
    <mergeCell ref="B31:G31"/>
    <mergeCell ref="B44:G44"/>
    <mergeCell ref="B45:G45"/>
    <mergeCell ref="B39:G39"/>
    <mergeCell ref="B40:G40"/>
    <mergeCell ref="B41:G41"/>
    <mergeCell ref="B43:G43"/>
    <mergeCell ref="B58:H58"/>
    <mergeCell ref="A130:H130"/>
    <mergeCell ref="B95:H95"/>
    <mergeCell ref="A97:H97"/>
    <mergeCell ref="A98:I98"/>
    <mergeCell ref="A99:F104"/>
    <mergeCell ref="G99:H99"/>
    <mergeCell ref="G100:H100"/>
    <mergeCell ref="G101:H101"/>
    <mergeCell ref="G102:H102"/>
    <mergeCell ref="G103:H103"/>
    <mergeCell ref="G104:H104"/>
    <mergeCell ref="A121:H121"/>
    <mergeCell ref="B122:H122"/>
    <mergeCell ref="B123:H123"/>
    <mergeCell ref="B42:C42"/>
    <mergeCell ref="L93:L104"/>
    <mergeCell ref="L112:L119"/>
    <mergeCell ref="A49:M49"/>
    <mergeCell ref="A65:M65"/>
    <mergeCell ref="B52:E52"/>
    <mergeCell ref="B87:G87"/>
    <mergeCell ref="A80:F80"/>
    <mergeCell ref="G80:H80"/>
    <mergeCell ref="B76:G76"/>
    <mergeCell ref="B77:G77"/>
    <mergeCell ref="B78:G78"/>
    <mergeCell ref="B73:H73"/>
    <mergeCell ref="J76:J80"/>
    <mergeCell ref="J106:J110"/>
    <mergeCell ref="B106:G106"/>
    <mergeCell ref="B107:G107"/>
    <mergeCell ref="B108:G108"/>
    <mergeCell ref="A110:A116"/>
    <mergeCell ref="B109:F109"/>
    <mergeCell ref="J93:J104"/>
    <mergeCell ref="J112:J119"/>
    <mergeCell ref="B94:H94"/>
    <mergeCell ref="B88:G88"/>
    <mergeCell ref="L106:L110"/>
    <mergeCell ref="L121:L129"/>
    <mergeCell ref="L18:M18"/>
    <mergeCell ref="A26:H26"/>
    <mergeCell ref="A29:M29"/>
    <mergeCell ref="A30:M30"/>
    <mergeCell ref="I9:M9"/>
    <mergeCell ref="A3:M3"/>
    <mergeCell ref="I1:M1"/>
    <mergeCell ref="I5:M5"/>
    <mergeCell ref="I4:M4"/>
    <mergeCell ref="I6:M6"/>
    <mergeCell ref="I7:M7"/>
    <mergeCell ref="A8:M8"/>
    <mergeCell ref="A11:M11"/>
    <mergeCell ref="I12:M12"/>
    <mergeCell ref="I13:M13"/>
    <mergeCell ref="I14:M14"/>
    <mergeCell ref="I15:M15"/>
    <mergeCell ref="I16:M16"/>
    <mergeCell ref="I17:M17"/>
    <mergeCell ref="A21:M21"/>
    <mergeCell ref="B24:E24"/>
    <mergeCell ref="A38:M38"/>
  </mergeCells>
  <pageMargins left="0.23622047244094491" right="0.23622047244094491" top="0.74803149606299213" bottom="0.74803149606299213" header="0.31496062992125984" footer="0.31496062992125984"/>
  <pageSetup paperSize="9" scale="10" fitToHeight="0" orientation="portrait" r:id="rId1"/>
  <headerFooter>
    <oddHeader>&amp;A</oddHeader>
    <oddFoote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DB1E4-0FC9-4927-B443-87ED2EFDF347}">
  <sheetPr>
    <tabColor rgb="FF00B0F0"/>
    <pageSetUpPr fitToPage="1"/>
  </sheetPr>
  <dimension ref="A1:ALK132"/>
  <sheetViews>
    <sheetView showGridLines="0" tabSelected="1" topLeftCell="A28" zoomScale="115" zoomScaleNormal="115" workbookViewId="0">
      <selection activeCell="M46" sqref="M46"/>
    </sheetView>
  </sheetViews>
  <sheetFormatPr defaultColWidth="9.140625" defaultRowHeight="15" customHeight="1"/>
  <cols>
    <col min="1" max="1" width="3.28515625" style="177" bestFit="1" customWidth="1"/>
    <col min="2" max="2" width="11.42578125" style="177" customWidth="1"/>
    <col min="3" max="3" width="17.42578125" style="177" customWidth="1"/>
    <col min="4" max="4" width="10.28515625" style="177" customWidth="1"/>
    <col min="5" max="5" width="8" style="177" customWidth="1"/>
    <col min="6" max="6" width="7.42578125" style="177" customWidth="1"/>
    <col min="7" max="7" width="8.5703125" style="177" customWidth="1"/>
    <col min="8" max="8" width="8.5703125" style="180" bestFit="1" customWidth="1"/>
    <col min="9" max="9" width="13.140625" style="178" customWidth="1"/>
    <col min="10" max="10" width="5.140625" style="199" customWidth="1"/>
    <col min="11" max="11" width="14.85546875" style="178" customWidth="1"/>
    <col min="12" max="999" width="11.42578125" style="177" customWidth="1"/>
    <col min="1000" max="1000" width="9.140625" style="233" customWidth="1"/>
    <col min="1001" max="16384" width="9.140625" style="233"/>
  </cols>
  <sheetData>
    <row r="1" spans="1:11" s="177" customFormat="1" ht="30.75" customHeight="1">
      <c r="A1" s="658" t="s">
        <v>56</v>
      </c>
      <c r="B1" s="659"/>
      <c r="C1" s="659"/>
      <c r="D1" s="659"/>
      <c r="E1" s="659"/>
      <c r="F1" s="659"/>
      <c r="G1" s="659"/>
      <c r="H1" s="659"/>
      <c r="I1" s="681" t="s">
        <v>418</v>
      </c>
      <c r="J1" s="682"/>
      <c r="K1" s="683"/>
    </row>
    <row r="2" spans="1:11" s="177" customFormat="1" ht="27.6" customHeight="1">
      <c r="A2" s="661"/>
      <c r="B2" s="662"/>
      <c r="C2" s="662"/>
      <c r="D2" s="662"/>
      <c r="E2" s="662"/>
      <c r="F2" s="662"/>
      <c r="G2" s="662"/>
      <c r="H2" s="663"/>
      <c r="I2" s="332" t="s">
        <v>351</v>
      </c>
      <c r="J2" s="234"/>
      <c r="K2" s="333" t="s">
        <v>352</v>
      </c>
    </row>
    <row r="3" spans="1:11" s="177" customFormat="1" ht="20.100000000000001" customHeight="1">
      <c r="A3" s="546" t="s">
        <v>57</v>
      </c>
      <c r="B3" s="546"/>
      <c r="C3" s="546"/>
      <c r="D3" s="546"/>
      <c r="E3" s="546"/>
      <c r="F3" s="546"/>
      <c r="G3" s="546"/>
      <c r="H3" s="546"/>
      <c r="I3" s="546"/>
      <c r="J3" s="546"/>
      <c r="K3" s="546"/>
    </row>
    <row r="4" spans="1:11" s="177" customFormat="1" ht="20.100000000000001" customHeight="1">
      <c r="A4" s="335" t="s">
        <v>58</v>
      </c>
      <c r="B4" s="630" t="s">
        <v>59</v>
      </c>
      <c r="C4" s="630"/>
      <c r="D4" s="630"/>
      <c r="E4" s="630"/>
      <c r="F4" s="630"/>
      <c r="G4" s="630"/>
      <c r="H4" s="684"/>
      <c r="I4" s="685"/>
      <c r="J4" s="686"/>
      <c r="K4" s="687"/>
    </row>
    <row r="5" spans="1:11" s="177" customFormat="1" ht="20.100000000000001" customHeight="1">
      <c r="A5" s="235" t="s">
        <v>60</v>
      </c>
      <c r="B5" s="590" t="s">
        <v>61</v>
      </c>
      <c r="C5" s="590"/>
      <c r="D5" s="590"/>
      <c r="E5" s="590"/>
      <c r="F5" s="590"/>
      <c r="G5" s="590"/>
      <c r="H5" s="590"/>
      <c r="I5" s="688" t="s">
        <v>419</v>
      </c>
      <c r="J5" s="688"/>
      <c r="K5" s="688"/>
    </row>
    <row r="6" spans="1:11" s="177" customFormat="1" ht="20.100000000000001" customHeight="1">
      <c r="A6" s="235" t="s">
        <v>63</v>
      </c>
      <c r="B6" s="590" t="s">
        <v>64</v>
      </c>
      <c r="C6" s="590"/>
      <c r="D6" s="590"/>
      <c r="E6" s="590"/>
      <c r="F6" s="590"/>
      <c r="G6" s="590"/>
      <c r="H6" s="590"/>
      <c r="I6" s="554"/>
      <c r="J6" s="554"/>
      <c r="K6" s="554"/>
    </row>
    <row r="7" spans="1:11" s="177" customFormat="1" ht="20.100000000000001" customHeight="1">
      <c r="A7" s="235" t="s">
        <v>65</v>
      </c>
      <c r="B7" s="590" t="s">
        <v>66</v>
      </c>
      <c r="C7" s="590"/>
      <c r="D7" s="590"/>
      <c r="E7" s="590"/>
      <c r="F7" s="590"/>
      <c r="G7" s="590"/>
      <c r="H7" s="590"/>
      <c r="I7" s="554" t="s">
        <v>67</v>
      </c>
      <c r="J7" s="554"/>
      <c r="K7" s="554"/>
    </row>
    <row r="8" spans="1:11" s="177" customFormat="1" ht="34.9" customHeight="1">
      <c r="A8" s="555" t="s">
        <v>68</v>
      </c>
      <c r="B8" s="555"/>
      <c r="C8" s="555"/>
      <c r="D8" s="555"/>
      <c r="E8" s="555"/>
      <c r="F8" s="555"/>
      <c r="G8" s="555"/>
      <c r="H8" s="555"/>
      <c r="I8" s="556"/>
      <c r="J8" s="556"/>
      <c r="K8" s="556"/>
    </row>
    <row r="9" spans="1:11" s="177" customFormat="1" ht="39" customHeight="1">
      <c r="A9" s="631" t="s">
        <v>69</v>
      </c>
      <c r="B9" s="631"/>
      <c r="C9" s="631"/>
      <c r="D9" s="631"/>
      <c r="E9" s="631"/>
      <c r="F9" s="631"/>
      <c r="G9" s="632" t="s">
        <v>70</v>
      </c>
      <c r="H9" s="633"/>
      <c r="I9" s="692" t="s">
        <v>71</v>
      </c>
      <c r="J9" s="693"/>
      <c r="K9" s="694"/>
    </row>
    <row r="10" spans="1:11" s="177" customFormat="1" ht="20.100000000000001" customHeight="1">
      <c r="A10" s="555" t="s">
        <v>454</v>
      </c>
      <c r="B10" s="555"/>
      <c r="C10" s="555"/>
      <c r="D10" s="555"/>
      <c r="E10" s="555"/>
      <c r="F10" s="555"/>
      <c r="G10" s="555" t="s">
        <v>52</v>
      </c>
      <c r="H10" s="555"/>
      <c r="I10" s="387">
        <v>1</v>
      </c>
      <c r="J10" s="388"/>
      <c r="K10" s="389">
        <v>1</v>
      </c>
    </row>
    <row r="11" spans="1:11" s="177" customFormat="1" ht="20.100000000000001" customHeight="1">
      <c r="A11" s="557" t="s">
        <v>72</v>
      </c>
      <c r="B11" s="557"/>
      <c r="C11" s="557"/>
      <c r="D11" s="557"/>
      <c r="E11" s="557"/>
      <c r="F11" s="557"/>
      <c r="G11" s="557"/>
      <c r="H11" s="557"/>
      <c r="I11" s="557"/>
      <c r="J11" s="557"/>
      <c r="K11" s="557"/>
    </row>
    <row r="12" spans="1:11" s="177" customFormat="1" ht="20.100000000000001" customHeight="1">
      <c r="A12" s="235">
        <v>1</v>
      </c>
      <c r="B12" s="590" t="s">
        <v>73</v>
      </c>
      <c r="C12" s="590"/>
      <c r="D12" s="590"/>
      <c r="E12" s="590"/>
      <c r="F12" s="590"/>
      <c r="G12" s="590"/>
      <c r="H12" s="590"/>
      <c r="I12" s="689" t="s">
        <v>455</v>
      </c>
      <c r="J12" s="690"/>
      <c r="K12" s="691"/>
    </row>
    <row r="13" spans="1:11" s="177" customFormat="1" ht="20.100000000000001" customHeight="1">
      <c r="A13" s="235">
        <v>2</v>
      </c>
      <c r="B13" s="590" t="s">
        <v>74</v>
      </c>
      <c r="C13" s="590"/>
      <c r="D13" s="590"/>
      <c r="E13" s="590"/>
      <c r="F13" s="590"/>
      <c r="G13" s="590"/>
      <c r="H13" s="590"/>
      <c r="I13" s="559" t="s">
        <v>353</v>
      </c>
      <c r="J13" s="559"/>
      <c r="K13" s="559"/>
    </row>
    <row r="14" spans="1:11" s="177" customFormat="1" ht="20.100000000000001" customHeight="1">
      <c r="A14" s="235">
        <v>3</v>
      </c>
      <c r="B14" s="606" t="s">
        <v>75</v>
      </c>
      <c r="C14" s="606"/>
      <c r="D14" s="606"/>
      <c r="E14" s="606"/>
      <c r="F14" s="606"/>
      <c r="G14" s="606"/>
      <c r="H14" s="606"/>
      <c r="I14" s="560">
        <v>1695.43</v>
      </c>
      <c r="J14" s="560"/>
      <c r="K14" s="560"/>
    </row>
    <row r="15" spans="1:11" s="177" customFormat="1" ht="20.100000000000001" customHeight="1">
      <c r="A15" s="235">
        <v>4</v>
      </c>
      <c r="B15" s="590" t="s">
        <v>76</v>
      </c>
      <c r="C15" s="590"/>
      <c r="D15" s="590"/>
      <c r="E15" s="590"/>
      <c r="F15" s="590"/>
      <c r="G15" s="590"/>
      <c r="H15" s="590"/>
      <c r="I15" s="561" t="s">
        <v>354</v>
      </c>
      <c r="J15" s="561"/>
      <c r="K15" s="561"/>
    </row>
    <row r="16" spans="1:11" s="177" customFormat="1" ht="20.100000000000001" customHeight="1">
      <c r="A16" s="235">
        <v>5</v>
      </c>
      <c r="B16" s="590" t="s">
        <v>77</v>
      </c>
      <c r="C16" s="590"/>
      <c r="D16" s="590"/>
      <c r="E16" s="590"/>
      <c r="F16" s="590"/>
      <c r="G16" s="590"/>
      <c r="H16" s="590"/>
      <c r="I16" s="561">
        <v>45352</v>
      </c>
      <c r="J16" s="561"/>
      <c r="K16" s="561"/>
    </row>
    <row r="17" spans="1:11" s="177" customFormat="1" ht="20.100000000000001" customHeight="1">
      <c r="A17" s="235">
        <v>6</v>
      </c>
      <c r="B17" s="668" t="s">
        <v>78</v>
      </c>
      <c r="C17" s="668"/>
      <c r="D17" s="668"/>
      <c r="E17" s="668"/>
      <c r="F17" s="668"/>
      <c r="G17" s="668"/>
      <c r="H17" s="668"/>
      <c r="I17" s="559">
        <v>1412</v>
      </c>
      <c r="J17" s="559"/>
      <c r="K17" s="559"/>
    </row>
    <row r="18" spans="1:11" s="177" customFormat="1" ht="20.100000000000001" customHeight="1">
      <c r="A18" s="235">
        <v>7</v>
      </c>
      <c r="B18" s="590" t="s">
        <v>79</v>
      </c>
      <c r="C18" s="590"/>
      <c r="D18" s="590"/>
      <c r="E18" s="590"/>
      <c r="F18" s="590"/>
      <c r="G18" s="590"/>
      <c r="H18" s="590"/>
      <c r="I18" s="670">
        <f>365/12/2</f>
        <v>15.208333333333334</v>
      </c>
      <c r="J18" s="670"/>
      <c r="K18" s="670"/>
    </row>
    <row r="19" spans="1:11" s="177" customFormat="1" ht="19.899999999999999" customHeight="1">
      <c r="A19" s="540"/>
      <c r="B19" s="669"/>
      <c r="C19" s="669"/>
      <c r="D19" s="669"/>
      <c r="E19" s="669"/>
      <c r="F19" s="669"/>
      <c r="G19" s="669"/>
      <c r="H19" s="669"/>
      <c r="I19" s="669"/>
      <c r="J19" s="669"/>
      <c r="K19" s="669"/>
    </row>
    <row r="20" spans="1:11" s="177" customFormat="1" ht="25.9" customHeight="1">
      <c r="A20" s="555" t="s">
        <v>80</v>
      </c>
      <c r="B20" s="555"/>
      <c r="C20" s="555"/>
      <c r="D20" s="555"/>
      <c r="E20" s="555"/>
      <c r="F20" s="555"/>
      <c r="G20" s="555"/>
      <c r="H20" s="555"/>
      <c r="I20" s="236" t="s">
        <v>355</v>
      </c>
      <c r="J20" s="237"/>
      <c r="K20" s="238" t="s">
        <v>356</v>
      </c>
    </row>
    <row r="21" spans="1:11" s="177" customFormat="1" ht="20.100000000000001" customHeight="1">
      <c r="A21" s="573" t="s">
        <v>81</v>
      </c>
      <c r="B21" s="574"/>
      <c r="C21" s="574"/>
      <c r="D21" s="574"/>
      <c r="E21" s="574"/>
      <c r="F21" s="574"/>
      <c r="G21" s="574"/>
      <c r="H21" s="574"/>
      <c r="I21" s="574"/>
      <c r="J21" s="574"/>
      <c r="K21" s="574"/>
    </row>
    <row r="22" spans="1:11" s="177" customFormat="1" ht="19.149999999999999" customHeight="1">
      <c r="A22" s="239">
        <v>1</v>
      </c>
      <c r="B22" s="667" t="s">
        <v>82</v>
      </c>
      <c r="C22" s="667"/>
      <c r="D22" s="667"/>
      <c r="E22" s="667"/>
      <c r="F22" s="667"/>
      <c r="G22" s="667"/>
      <c r="H22" s="240" t="s">
        <v>83</v>
      </c>
      <c r="I22" s="240" t="s">
        <v>84</v>
      </c>
      <c r="J22" s="622"/>
      <c r="K22" s="240" t="s">
        <v>84</v>
      </c>
    </row>
    <row r="23" spans="1:11" s="177" customFormat="1" ht="20.45" customHeight="1">
      <c r="A23" s="235" t="s">
        <v>58</v>
      </c>
      <c r="B23" s="585" t="s">
        <v>401</v>
      </c>
      <c r="C23" s="585"/>
      <c r="D23" s="585"/>
      <c r="E23" s="585"/>
      <c r="F23" s="585"/>
      <c r="G23" s="585"/>
      <c r="H23" s="585"/>
      <c r="I23" s="242">
        <f>I14</f>
        <v>1695.43</v>
      </c>
      <c r="J23" s="619"/>
      <c r="K23" s="242">
        <f>I14</f>
        <v>1695.43</v>
      </c>
    </row>
    <row r="24" spans="1:11" s="177" customFormat="1" ht="20.45" customHeight="1">
      <c r="A24" s="235" t="s">
        <v>60</v>
      </c>
      <c r="B24" s="577" t="s">
        <v>400</v>
      </c>
      <c r="C24" s="578"/>
      <c r="D24" s="578"/>
      <c r="E24" s="579"/>
      <c r="F24" s="235">
        <v>8</v>
      </c>
      <c r="G24" s="235">
        <v>1.93</v>
      </c>
      <c r="H24" s="444">
        <v>15.21</v>
      </c>
      <c r="I24" s="242"/>
      <c r="J24" s="619"/>
      <c r="K24" s="242">
        <f>F24*G24*H24</f>
        <v>234.8424</v>
      </c>
    </row>
    <row r="25" spans="1:11" s="177" customFormat="1" ht="20.45" customHeight="1">
      <c r="A25" s="235" t="s">
        <v>63</v>
      </c>
      <c r="B25" s="695" t="s">
        <v>86</v>
      </c>
      <c r="C25" s="695"/>
      <c r="D25" s="695"/>
      <c r="E25" s="695"/>
      <c r="F25" s="695"/>
      <c r="G25" s="695"/>
      <c r="H25" s="244"/>
      <c r="I25" s="242"/>
      <c r="J25" s="619"/>
      <c r="K25" s="242"/>
    </row>
    <row r="26" spans="1:11" s="177" customFormat="1" ht="20.45" customHeight="1">
      <c r="A26" s="611" t="s">
        <v>55</v>
      </c>
      <c r="B26" s="612"/>
      <c r="C26" s="612"/>
      <c r="D26" s="612"/>
      <c r="E26" s="612"/>
      <c r="F26" s="612"/>
      <c r="G26" s="612"/>
      <c r="H26" s="613"/>
      <c r="I26" s="242">
        <f>SUM(I23:I25)</f>
        <v>1695.43</v>
      </c>
      <c r="J26" s="619"/>
      <c r="K26" s="242">
        <f>SUM(K23:K25)</f>
        <v>1930.2724000000001</v>
      </c>
    </row>
    <row r="27" spans="1:11" s="177" customFormat="1" ht="20.45" customHeight="1">
      <c r="A27" s="235" t="s">
        <v>65</v>
      </c>
      <c r="B27" s="695" t="s">
        <v>85</v>
      </c>
      <c r="C27" s="695"/>
      <c r="D27" s="695"/>
      <c r="E27" s="695"/>
      <c r="F27" s="695"/>
      <c r="G27" s="695"/>
      <c r="H27" s="245">
        <v>0.3</v>
      </c>
      <c r="I27" s="246">
        <f>TRUNC(I26*$H$27,2)</f>
        <v>508.62</v>
      </c>
      <c r="J27" s="619"/>
      <c r="K27" s="246">
        <f>TRUNC((K26)*H27,2)</f>
        <v>579.08000000000004</v>
      </c>
    </row>
    <row r="28" spans="1:11" s="177" customFormat="1" ht="20.100000000000001" customHeight="1">
      <c r="A28" s="594" t="s">
        <v>87</v>
      </c>
      <c r="B28" s="594"/>
      <c r="C28" s="594"/>
      <c r="D28" s="594"/>
      <c r="E28" s="594"/>
      <c r="F28" s="594"/>
      <c r="G28" s="594"/>
      <c r="H28" s="594"/>
      <c r="I28" s="247">
        <f>TRUNC(SUM(I26:I27),2)</f>
        <v>2204.0500000000002</v>
      </c>
      <c r="J28" s="623"/>
      <c r="K28" s="247">
        <f>TRUNC(SUM(K26:K27),2)</f>
        <v>2509.35</v>
      </c>
    </row>
    <row r="29" spans="1:11" s="177" customFormat="1" ht="20.100000000000001" customHeight="1">
      <c r="A29" s="586" t="s">
        <v>88</v>
      </c>
      <c r="B29" s="586"/>
      <c r="C29" s="586"/>
      <c r="D29" s="586"/>
      <c r="E29" s="586"/>
      <c r="F29" s="586"/>
      <c r="G29" s="586"/>
      <c r="H29" s="586"/>
      <c r="I29" s="586"/>
      <c r="J29" s="586"/>
      <c r="K29" s="586"/>
    </row>
    <row r="30" spans="1:11" s="177" customFormat="1" ht="25.15" customHeight="1">
      <c r="A30" s="586" t="s">
        <v>89</v>
      </c>
      <c r="B30" s="586"/>
      <c r="C30" s="586"/>
      <c r="D30" s="586"/>
      <c r="E30" s="586"/>
      <c r="F30" s="586"/>
      <c r="G30" s="586"/>
      <c r="H30" s="586"/>
      <c r="I30" s="586"/>
      <c r="J30" s="699"/>
      <c r="K30" s="699"/>
    </row>
    <row r="31" spans="1:11" s="177" customFormat="1" ht="21" customHeight="1">
      <c r="A31" s="295" t="s">
        <v>90</v>
      </c>
      <c r="B31" s="700" t="s">
        <v>91</v>
      </c>
      <c r="C31" s="700"/>
      <c r="D31" s="700"/>
      <c r="E31" s="700"/>
      <c r="F31" s="700"/>
      <c r="G31" s="700"/>
      <c r="H31" s="296" t="s">
        <v>83</v>
      </c>
      <c r="I31" s="297" t="s">
        <v>84</v>
      </c>
      <c r="J31" s="359"/>
      <c r="K31" s="420" t="s">
        <v>84</v>
      </c>
    </row>
    <row r="32" spans="1:11" s="177" customFormat="1" ht="18" customHeight="1">
      <c r="A32" s="235" t="s">
        <v>58</v>
      </c>
      <c r="B32" s="585" t="s">
        <v>393</v>
      </c>
      <c r="C32" s="585"/>
      <c r="D32" s="585"/>
      <c r="E32" s="585"/>
      <c r="F32" s="585"/>
      <c r="G32" s="585"/>
      <c r="H32" s="252">
        <f>1/12</f>
        <v>8.3333333333333329E-2</v>
      </c>
      <c r="I32" s="253">
        <f>TRUNC($I$28*H32,2)</f>
        <v>183.67</v>
      </c>
      <c r="J32" s="357"/>
      <c r="K32" s="421">
        <f>TRUNC($K$28*H32,2)</f>
        <v>209.11</v>
      </c>
    </row>
    <row r="33" spans="1:11" ht="37.5" customHeight="1">
      <c r="A33" s="235" t="s">
        <v>60</v>
      </c>
      <c r="B33" s="674" t="s">
        <v>394</v>
      </c>
      <c r="C33" s="675"/>
      <c r="D33" s="675"/>
      <c r="E33" s="675"/>
      <c r="F33" s="675"/>
      <c r="G33" s="676"/>
      <c r="H33" s="255">
        <v>0.1118</v>
      </c>
      <c r="I33" s="253">
        <f>TRUNC(H33*I28,2)</f>
        <v>246.41</v>
      </c>
      <c r="J33" s="357"/>
      <c r="K33" s="421">
        <f>TRUNC(H33*K28,2)</f>
        <v>280.54000000000002</v>
      </c>
    </row>
    <row r="34" spans="1:11" ht="25.15" customHeight="1" thickBot="1">
      <c r="A34" s="677" t="s">
        <v>92</v>
      </c>
      <c r="B34" s="677"/>
      <c r="C34" s="677"/>
      <c r="D34" s="677"/>
      <c r="E34" s="677"/>
      <c r="F34" s="677"/>
      <c r="G34" s="678"/>
      <c r="H34" s="256">
        <f>SUM(H32:H33)</f>
        <v>0.19513333333333333</v>
      </c>
      <c r="I34" s="257">
        <f>SUM(I32:I33)</f>
        <v>430.08</v>
      </c>
      <c r="J34" s="357"/>
      <c r="K34" s="422">
        <f>SUM(K32:K33)</f>
        <v>489.65000000000003</v>
      </c>
    </row>
    <row r="35" spans="1:11" ht="25.15" customHeight="1" thickTop="1" thickBot="1">
      <c r="A35" s="671" t="s">
        <v>93</v>
      </c>
      <c r="B35" s="671"/>
      <c r="C35" s="671"/>
      <c r="D35" s="671"/>
      <c r="E35" s="671"/>
      <c r="F35" s="671"/>
      <c r="G35" s="583" t="s">
        <v>94</v>
      </c>
      <c r="H35" s="584"/>
      <c r="I35" s="302">
        <f>I28</f>
        <v>2204.0500000000002</v>
      </c>
      <c r="J35" s="419"/>
      <c r="K35" s="423">
        <f>K28</f>
        <v>2509.35</v>
      </c>
    </row>
    <row r="36" spans="1:11" ht="25.15" customHeight="1" thickTop="1" thickBot="1">
      <c r="A36" s="671"/>
      <c r="B36" s="671"/>
      <c r="C36" s="671"/>
      <c r="D36" s="671"/>
      <c r="E36" s="671"/>
      <c r="F36" s="671"/>
      <c r="G36" s="583" t="s">
        <v>95</v>
      </c>
      <c r="H36" s="584"/>
      <c r="I36" s="302">
        <f>I34</f>
        <v>430.08</v>
      </c>
      <c r="J36" s="419"/>
      <c r="K36" s="423">
        <f>K34</f>
        <v>489.65000000000003</v>
      </c>
    </row>
    <row r="37" spans="1:11" ht="25.15" customHeight="1" thickTop="1">
      <c r="A37" s="672"/>
      <c r="B37" s="672"/>
      <c r="C37" s="672"/>
      <c r="D37" s="672"/>
      <c r="E37" s="672"/>
      <c r="F37" s="672"/>
      <c r="G37" s="580" t="s">
        <v>92</v>
      </c>
      <c r="H37" s="582"/>
      <c r="I37" s="317">
        <f>SUM(I35:I36)</f>
        <v>2634.13</v>
      </c>
      <c r="J37" s="419"/>
      <c r="K37" s="424">
        <f>SUM(K35:K36)</f>
        <v>2999</v>
      </c>
    </row>
    <row r="38" spans="1:11" ht="19.5" customHeight="1">
      <c r="A38" s="696" t="s">
        <v>408</v>
      </c>
      <c r="B38" s="697"/>
      <c r="C38" s="697"/>
      <c r="D38" s="697"/>
      <c r="E38" s="697"/>
      <c r="F38" s="697"/>
      <c r="G38" s="697"/>
      <c r="H38" s="697"/>
      <c r="I38" s="697"/>
      <c r="J38" s="697"/>
      <c r="K38" s="698"/>
    </row>
    <row r="39" spans="1:11" ht="20.100000000000001" customHeight="1">
      <c r="A39" s="326" t="s">
        <v>96</v>
      </c>
      <c r="B39" s="610" t="s">
        <v>97</v>
      </c>
      <c r="C39" s="610"/>
      <c r="D39" s="610"/>
      <c r="E39" s="610"/>
      <c r="F39" s="610"/>
      <c r="G39" s="610"/>
      <c r="H39" s="327" t="s">
        <v>83</v>
      </c>
      <c r="I39" s="327" t="s">
        <v>84</v>
      </c>
      <c r="J39" s="619"/>
      <c r="K39" s="327" t="s">
        <v>84</v>
      </c>
    </row>
    <row r="40" spans="1:11" ht="20.100000000000001" customHeight="1">
      <c r="A40" s="235" t="s">
        <v>58</v>
      </c>
      <c r="B40" s="590" t="s">
        <v>98</v>
      </c>
      <c r="C40" s="590"/>
      <c r="D40" s="590"/>
      <c r="E40" s="590"/>
      <c r="F40" s="590"/>
      <c r="G40" s="590"/>
      <c r="H40" s="464">
        <v>0.2</v>
      </c>
      <c r="I40" s="259">
        <f>TRUNC($I$37*H40,2)</f>
        <v>526.82000000000005</v>
      </c>
      <c r="J40" s="619"/>
      <c r="K40" s="259">
        <f>TRUNC($K$37*H40,2)</f>
        <v>599.79999999999995</v>
      </c>
    </row>
    <row r="41" spans="1:11" ht="22.15" customHeight="1">
      <c r="A41" s="235" t="s">
        <v>60</v>
      </c>
      <c r="B41" s="590" t="s">
        <v>99</v>
      </c>
      <c r="C41" s="590"/>
      <c r="D41" s="590"/>
      <c r="E41" s="590"/>
      <c r="F41" s="590"/>
      <c r="G41" s="590"/>
      <c r="H41" s="463">
        <v>2.5000000000000001E-2</v>
      </c>
      <c r="I41" s="259">
        <f t="shared" ref="I41:I47" si="0">TRUNC($I$37*H41,2)</f>
        <v>65.849999999999994</v>
      </c>
      <c r="J41" s="619"/>
      <c r="K41" s="259">
        <f t="shared" ref="K41:K47" si="1">TRUNC($K$37*H41,2)</f>
        <v>74.97</v>
      </c>
    </row>
    <row r="42" spans="1:11" ht="21.75" customHeight="1">
      <c r="A42" s="309" t="s">
        <v>63</v>
      </c>
      <c r="B42" s="565" t="s">
        <v>447</v>
      </c>
      <c r="C42" s="566"/>
      <c r="D42" s="309" t="s">
        <v>445</v>
      </c>
      <c r="E42" s="440">
        <v>0</v>
      </c>
      <c r="F42" s="309" t="s">
        <v>446</v>
      </c>
      <c r="G42" s="440">
        <v>0</v>
      </c>
      <c r="H42" s="800">
        <f>E42*G42/100</f>
        <v>0</v>
      </c>
      <c r="I42" s="259">
        <f t="shared" si="0"/>
        <v>0</v>
      </c>
      <c r="J42" s="619"/>
      <c r="K42" s="259">
        <f t="shared" si="1"/>
        <v>0</v>
      </c>
    </row>
    <row r="43" spans="1:11" ht="20.100000000000001" customHeight="1">
      <c r="A43" s="235" t="s">
        <v>65</v>
      </c>
      <c r="B43" s="590" t="s">
        <v>100</v>
      </c>
      <c r="C43" s="590"/>
      <c r="D43" s="590"/>
      <c r="E43" s="590"/>
      <c r="F43" s="590"/>
      <c r="G43" s="590"/>
      <c r="H43" s="463">
        <v>1.4999999999999999E-2</v>
      </c>
      <c r="I43" s="259">
        <f t="shared" si="0"/>
        <v>39.51</v>
      </c>
      <c r="J43" s="619"/>
      <c r="K43" s="259">
        <f t="shared" si="1"/>
        <v>44.98</v>
      </c>
    </row>
    <row r="44" spans="1:11" ht="20.100000000000001" customHeight="1">
      <c r="A44" s="235" t="s">
        <v>49</v>
      </c>
      <c r="B44" s="590" t="s">
        <v>101</v>
      </c>
      <c r="C44" s="590"/>
      <c r="D44" s="590"/>
      <c r="E44" s="590"/>
      <c r="F44" s="590"/>
      <c r="G44" s="590"/>
      <c r="H44" s="463">
        <v>0.01</v>
      </c>
      <c r="I44" s="259">
        <f t="shared" si="0"/>
        <v>26.34</v>
      </c>
      <c r="J44" s="619"/>
      <c r="K44" s="259">
        <f t="shared" si="1"/>
        <v>29.99</v>
      </c>
    </row>
    <row r="45" spans="1:11" ht="20.100000000000001" customHeight="1">
      <c r="A45" s="235" t="s">
        <v>102</v>
      </c>
      <c r="B45" s="590" t="s">
        <v>103</v>
      </c>
      <c r="C45" s="590"/>
      <c r="D45" s="590"/>
      <c r="E45" s="590"/>
      <c r="F45" s="590"/>
      <c r="G45" s="590"/>
      <c r="H45" s="463">
        <v>6.0000000000000001E-3</v>
      </c>
      <c r="I45" s="259">
        <f t="shared" si="0"/>
        <v>15.8</v>
      </c>
      <c r="J45" s="619"/>
      <c r="K45" s="259">
        <f t="shared" si="1"/>
        <v>17.989999999999998</v>
      </c>
    </row>
    <row r="46" spans="1:11" ht="20.100000000000001" customHeight="1">
      <c r="A46" s="235" t="s">
        <v>104</v>
      </c>
      <c r="B46" s="590" t="s">
        <v>105</v>
      </c>
      <c r="C46" s="590"/>
      <c r="D46" s="590"/>
      <c r="E46" s="590"/>
      <c r="F46" s="590"/>
      <c r="G46" s="590"/>
      <c r="H46" s="463">
        <v>2E-3</v>
      </c>
      <c r="I46" s="259">
        <f t="shared" si="0"/>
        <v>5.26</v>
      </c>
      <c r="J46" s="619"/>
      <c r="K46" s="259">
        <f t="shared" si="1"/>
        <v>5.99</v>
      </c>
    </row>
    <row r="47" spans="1:11" ht="20.100000000000001" customHeight="1">
      <c r="A47" s="235" t="s">
        <v>106</v>
      </c>
      <c r="B47" s="590" t="s">
        <v>107</v>
      </c>
      <c r="C47" s="590"/>
      <c r="D47" s="590"/>
      <c r="E47" s="590"/>
      <c r="F47" s="590"/>
      <c r="G47" s="590"/>
      <c r="H47" s="463">
        <v>0.08</v>
      </c>
      <c r="I47" s="259">
        <f t="shared" si="0"/>
        <v>210.73</v>
      </c>
      <c r="J47" s="619"/>
      <c r="K47" s="259">
        <f t="shared" si="1"/>
        <v>239.92</v>
      </c>
    </row>
    <row r="48" spans="1:11" s="178" customFormat="1" ht="20.100000000000001" customHeight="1">
      <c r="A48" s="607" t="s">
        <v>92</v>
      </c>
      <c r="B48" s="607"/>
      <c r="C48" s="607"/>
      <c r="D48" s="607"/>
      <c r="E48" s="607"/>
      <c r="F48" s="607"/>
      <c r="G48" s="607"/>
      <c r="H48" s="465">
        <f>SUM(H40:H47)</f>
        <v>0.33800000000000002</v>
      </c>
      <c r="I48" s="319">
        <f>SUM(I40:I47)</f>
        <v>890.31000000000006</v>
      </c>
      <c r="J48" s="619"/>
      <c r="K48" s="319">
        <f>SUM(K40:K47)</f>
        <v>1013.64</v>
      </c>
    </row>
    <row r="49" spans="1:188" ht="20.100000000000001" customHeight="1">
      <c r="A49" s="569" t="s">
        <v>108</v>
      </c>
      <c r="B49" s="570"/>
      <c r="C49" s="570"/>
      <c r="D49" s="570"/>
      <c r="E49" s="570"/>
      <c r="F49" s="570"/>
      <c r="G49" s="570"/>
      <c r="H49" s="570"/>
      <c r="I49" s="570"/>
      <c r="J49" s="570"/>
      <c r="K49" s="570"/>
    </row>
    <row r="50" spans="1:188" s="176" customFormat="1" ht="22.15" customHeight="1">
      <c r="A50" s="326" t="s">
        <v>109</v>
      </c>
      <c r="B50" s="648" t="s">
        <v>110</v>
      </c>
      <c r="C50" s="648"/>
      <c r="D50" s="648"/>
      <c r="E50" s="648"/>
      <c r="F50" s="648"/>
      <c r="G50" s="648"/>
      <c r="H50" s="648"/>
      <c r="I50" s="327" t="s">
        <v>84</v>
      </c>
      <c r="J50" s="248"/>
      <c r="K50" s="327" t="s">
        <v>84</v>
      </c>
      <c r="L50" s="306"/>
      <c r="M50" s="621"/>
      <c r="N50" s="621"/>
      <c r="O50" s="621"/>
      <c r="P50" s="621"/>
      <c r="Q50" s="621"/>
      <c r="R50" s="621"/>
      <c r="S50" s="621"/>
      <c r="T50" s="621"/>
      <c r="U50" s="621"/>
      <c r="V50" s="621"/>
      <c r="W50" s="621"/>
      <c r="X50" s="621"/>
      <c r="Y50" s="621"/>
      <c r="Z50" s="621"/>
      <c r="AA50" s="621"/>
      <c r="AB50" s="621"/>
      <c r="AC50" s="621"/>
      <c r="AD50" s="621"/>
      <c r="AE50" s="621"/>
      <c r="AF50" s="621"/>
      <c r="AG50" s="621"/>
      <c r="AH50" s="621"/>
      <c r="AI50" s="621"/>
      <c r="AJ50" s="621"/>
      <c r="AK50" s="621"/>
      <c r="AL50" s="621"/>
      <c r="AM50" s="621"/>
      <c r="AN50" s="621"/>
      <c r="AO50" s="621"/>
      <c r="AP50" s="621"/>
      <c r="AQ50" s="621"/>
      <c r="AR50" s="621"/>
      <c r="AS50" s="621"/>
      <c r="AT50" s="621"/>
      <c r="AU50" s="621"/>
      <c r="AV50" s="621"/>
      <c r="AW50" s="621"/>
      <c r="AX50" s="621"/>
      <c r="AY50" s="621"/>
      <c r="AZ50" s="621"/>
      <c r="BA50" s="621"/>
      <c r="BB50" s="621"/>
      <c r="BC50" s="621"/>
      <c r="BD50" s="621"/>
      <c r="BE50" s="621"/>
      <c r="BF50" s="621"/>
      <c r="BG50" s="621"/>
      <c r="BH50" s="621"/>
      <c r="BI50" s="621"/>
      <c r="BJ50" s="621"/>
      <c r="BK50" s="621"/>
      <c r="BL50" s="621"/>
      <c r="BM50" s="621"/>
      <c r="BN50" s="621"/>
      <c r="BO50" s="621"/>
      <c r="BP50" s="621"/>
      <c r="BQ50" s="621"/>
      <c r="BR50" s="621"/>
      <c r="BS50" s="621"/>
      <c r="BT50" s="621"/>
      <c r="BU50" s="621"/>
      <c r="BV50" s="621"/>
      <c r="BW50" s="621"/>
      <c r="BX50" s="621"/>
      <c r="BY50" s="621"/>
      <c r="BZ50" s="621"/>
      <c r="CA50" s="621"/>
      <c r="CB50" s="621"/>
      <c r="CC50" s="621"/>
      <c r="CD50" s="621"/>
      <c r="CE50" s="621"/>
      <c r="CF50" s="621"/>
      <c r="CG50" s="621"/>
      <c r="CH50" s="621"/>
      <c r="CI50" s="621"/>
      <c r="CJ50" s="621"/>
      <c r="CK50" s="621"/>
      <c r="CL50" s="621"/>
      <c r="CM50" s="621"/>
      <c r="CN50" s="621"/>
      <c r="CO50" s="621"/>
      <c r="CP50" s="621"/>
      <c r="CQ50" s="621"/>
      <c r="CR50" s="621"/>
      <c r="CS50" s="621"/>
      <c r="CT50" s="621"/>
      <c r="CU50" s="621"/>
      <c r="CV50" s="621"/>
      <c r="CW50" s="621"/>
      <c r="CX50" s="621"/>
      <c r="CY50" s="621"/>
      <c r="CZ50" s="621"/>
      <c r="DA50" s="621"/>
      <c r="DB50" s="621"/>
      <c r="DC50" s="621"/>
      <c r="DD50" s="621"/>
      <c r="DE50" s="621"/>
      <c r="DF50" s="621"/>
      <c r="DG50" s="621"/>
      <c r="DH50" s="621"/>
      <c r="DI50" s="621"/>
      <c r="DJ50" s="621"/>
      <c r="DK50" s="621"/>
      <c r="DL50" s="621"/>
      <c r="DM50" s="621"/>
      <c r="DN50" s="621"/>
      <c r="DO50" s="621"/>
      <c r="DP50" s="621"/>
      <c r="DQ50" s="621"/>
      <c r="DR50" s="621"/>
      <c r="DS50" s="621"/>
      <c r="DT50" s="621"/>
      <c r="DU50" s="621"/>
      <c r="DV50" s="621"/>
      <c r="DW50" s="621"/>
      <c r="DX50" s="621"/>
      <c r="DY50" s="621"/>
      <c r="DZ50" s="621"/>
      <c r="EA50" s="621"/>
      <c r="EB50" s="621"/>
      <c r="EC50" s="621"/>
      <c r="ED50" s="621"/>
      <c r="EE50" s="621"/>
      <c r="EF50" s="621"/>
      <c r="EG50" s="621"/>
      <c r="EH50" s="621"/>
      <c r="EI50" s="621"/>
      <c r="EJ50" s="621"/>
      <c r="EK50" s="621"/>
      <c r="EL50" s="621"/>
      <c r="EM50" s="621"/>
      <c r="EN50" s="621"/>
      <c r="EO50" s="621"/>
      <c r="EP50" s="621"/>
      <c r="EQ50" s="621"/>
      <c r="ER50" s="621"/>
      <c r="ES50" s="621"/>
      <c r="ET50" s="621"/>
      <c r="EU50" s="621"/>
      <c r="EV50" s="621"/>
      <c r="EW50" s="621"/>
      <c r="EX50" s="621"/>
      <c r="EY50" s="621"/>
      <c r="EZ50" s="621"/>
      <c r="FA50" s="621"/>
      <c r="FB50" s="621"/>
      <c r="FC50" s="621"/>
      <c r="FD50" s="621"/>
      <c r="FE50" s="621"/>
      <c r="FF50" s="621"/>
      <c r="FG50" s="621"/>
      <c r="FH50" s="621"/>
      <c r="FI50" s="621"/>
      <c r="FJ50" s="621"/>
      <c r="FK50" s="621"/>
      <c r="FL50" s="621"/>
      <c r="FM50" s="621"/>
      <c r="FN50" s="621"/>
      <c r="FO50" s="621"/>
      <c r="FP50" s="621"/>
      <c r="FQ50" s="621"/>
      <c r="FR50" s="621"/>
      <c r="FS50" s="621"/>
      <c r="FT50" s="621"/>
      <c r="FU50" s="621"/>
      <c r="FV50" s="621"/>
      <c r="FW50" s="621"/>
      <c r="FX50" s="621"/>
      <c r="FY50" s="621"/>
      <c r="FZ50" s="621"/>
      <c r="GA50" s="621"/>
      <c r="GB50" s="621"/>
      <c r="GC50" s="621"/>
      <c r="GD50" s="621"/>
      <c r="GE50" s="621"/>
      <c r="GF50" s="621"/>
    </row>
    <row r="51" spans="1:188" s="177" customFormat="1" ht="22.9" customHeight="1">
      <c r="A51" s="235" t="s">
        <v>58</v>
      </c>
      <c r="B51" s="585" t="s">
        <v>402</v>
      </c>
      <c r="C51" s="585"/>
      <c r="D51" s="585"/>
      <c r="E51" s="585"/>
      <c r="F51" s="322">
        <v>15.21</v>
      </c>
      <c r="G51" s="263">
        <v>2</v>
      </c>
      <c r="H51" s="441">
        <v>5</v>
      </c>
      <c r="I51" s="264">
        <f>ROUND((G51*H51*F51)-(0.06*I23/2),2)</f>
        <v>101.24</v>
      </c>
      <c r="J51" s="265"/>
      <c r="K51" s="264">
        <f>ROUND((G51*H51*F51)-(0.06*K23/2),2)</f>
        <v>101.24</v>
      </c>
    </row>
    <row r="52" spans="1:188" s="177" customFormat="1" ht="22.9" customHeight="1">
      <c r="A52" s="235" t="s">
        <v>60</v>
      </c>
      <c r="B52" s="565" t="s">
        <v>410</v>
      </c>
      <c r="C52" s="576"/>
      <c r="D52" s="576"/>
      <c r="E52" s="576"/>
      <c r="F52" s="445">
        <v>15.21</v>
      </c>
      <c r="G52" s="307">
        <v>41</v>
      </c>
      <c r="H52" s="308">
        <v>0.01</v>
      </c>
      <c r="I52" s="264">
        <f>ROUND((F52*G52)-(F52*G52)*H52,2)</f>
        <v>617.37</v>
      </c>
      <c r="J52" s="278"/>
      <c r="K52" s="264">
        <f>ROUND((F52*G52)-(F52*G52)*H52,2)</f>
        <v>617.37</v>
      </c>
    </row>
    <row r="53" spans="1:188" s="177" customFormat="1" ht="22.9" customHeight="1">
      <c r="A53" s="235" t="s">
        <v>63</v>
      </c>
      <c r="B53" s="565" t="s">
        <v>409</v>
      </c>
      <c r="C53" s="576"/>
      <c r="D53" s="576"/>
      <c r="E53" s="576"/>
      <c r="F53" s="566"/>
      <c r="G53" s="294">
        <v>0.16</v>
      </c>
      <c r="H53" s="294">
        <v>0.01</v>
      </c>
      <c r="I53" s="264">
        <f>ROUND((G53*I23)-(H53*I23),2)/12</f>
        <v>21.192499999999999</v>
      </c>
      <c r="J53" s="279"/>
      <c r="K53" s="264">
        <f>ROUND((G53*K23)-(H53*K23),2)/12</f>
        <v>21.192499999999999</v>
      </c>
    </row>
    <row r="54" spans="1:188" s="177" customFormat="1" ht="21" customHeight="1">
      <c r="A54" s="235" t="s">
        <v>65</v>
      </c>
      <c r="B54" s="577" t="s">
        <v>111</v>
      </c>
      <c r="C54" s="578"/>
      <c r="D54" s="578"/>
      <c r="E54" s="578"/>
      <c r="F54" s="578"/>
      <c r="G54" s="578"/>
      <c r="H54" s="579"/>
      <c r="I54" s="264">
        <v>14.16</v>
      </c>
      <c r="J54" s="279"/>
      <c r="K54" s="264">
        <v>14.16</v>
      </c>
    </row>
    <row r="55" spans="1:188" s="177" customFormat="1" ht="20.100000000000001" customHeight="1">
      <c r="A55" s="235" t="s">
        <v>49</v>
      </c>
      <c r="B55" s="590" t="s">
        <v>112</v>
      </c>
      <c r="C55" s="590"/>
      <c r="D55" s="590"/>
      <c r="E55" s="590"/>
      <c r="F55" s="590"/>
      <c r="G55" s="590"/>
      <c r="H55" s="590"/>
      <c r="I55" s="264">
        <v>0</v>
      </c>
      <c r="J55" s="279"/>
      <c r="K55" s="264">
        <v>0</v>
      </c>
    </row>
    <row r="56" spans="1:188" s="177" customFormat="1" ht="20.100000000000001" customHeight="1">
      <c r="A56" s="235" t="s">
        <v>102</v>
      </c>
      <c r="B56" s="590" t="s">
        <v>357</v>
      </c>
      <c r="C56" s="590"/>
      <c r="D56" s="590"/>
      <c r="E56" s="590"/>
      <c r="F56" s="590"/>
      <c r="G56" s="590"/>
      <c r="H56" s="590"/>
      <c r="I56" s="264">
        <v>0</v>
      </c>
      <c r="J56" s="279"/>
      <c r="K56" s="264">
        <v>0</v>
      </c>
    </row>
    <row r="57" spans="1:188" s="179" customFormat="1" ht="20.100000000000001" customHeight="1">
      <c r="A57" s="235" t="s">
        <v>104</v>
      </c>
      <c r="B57" s="590" t="s">
        <v>86</v>
      </c>
      <c r="C57" s="590"/>
      <c r="D57" s="590"/>
      <c r="E57" s="590"/>
      <c r="F57" s="590"/>
      <c r="G57" s="590"/>
      <c r="H57" s="590"/>
      <c r="I57" s="264">
        <v>0</v>
      </c>
      <c r="J57" s="279"/>
      <c r="K57" s="264">
        <v>0</v>
      </c>
    </row>
    <row r="58" spans="1:188" s="177" customFormat="1" ht="20.100000000000001" customHeight="1">
      <c r="A58" s="267"/>
      <c r="B58" s="594" t="s">
        <v>113</v>
      </c>
      <c r="C58" s="594"/>
      <c r="D58" s="594"/>
      <c r="E58" s="594"/>
      <c r="F58" s="594"/>
      <c r="G58" s="594"/>
      <c r="H58" s="594"/>
      <c r="I58" s="261">
        <f>TRUNC(SUM(I51:I57),2)</f>
        <v>753.96</v>
      </c>
      <c r="J58" s="279"/>
      <c r="K58" s="261">
        <f>TRUNC(SUM(K51:K57),2)</f>
        <v>753.96</v>
      </c>
    </row>
    <row r="59" spans="1:188" ht="20.100000000000001" customHeight="1">
      <c r="A59" s="569" t="s">
        <v>450</v>
      </c>
      <c r="B59" s="570"/>
      <c r="C59" s="570"/>
      <c r="D59" s="570"/>
      <c r="E59" s="570"/>
      <c r="F59" s="570"/>
      <c r="G59" s="570"/>
      <c r="H59" s="570"/>
      <c r="I59" s="570"/>
      <c r="J59" s="570"/>
      <c r="K59" s="572"/>
    </row>
    <row r="60" spans="1:188" s="176" customFormat="1" ht="22.15" customHeight="1">
      <c r="A60" s="326" t="s">
        <v>448</v>
      </c>
      <c r="B60" s="721" t="s">
        <v>406</v>
      </c>
      <c r="C60" s="721"/>
      <c r="D60" s="721"/>
      <c r="E60" s="721"/>
      <c r="F60" s="721"/>
      <c r="G60" s="721"/>
      <c r="H60" s="721"/>
      <c r="I60" s="327" t="s">
        <v>84</v>
      </c>
      <c r="J60" s="248"/>
      <c r="K60" s="427" t="s">
        <v>84</v>
      </c>
      <c r="L60" s="306"/>
      <c r="M60" s="621"/>
      <c r="N60" s="621"/>
      <c r="O60" s="621"/>
      <c r="P60" s="621"/>
      <c r="Q60" s="621"/>
      <c r="R60" s="621"/>
      <c r="S60" s="621"/>
      <c r="T60" s="621"/>
      <c r="U60" s="621"/>
      <c r="V60" s="621"/>
      <c r="W60" s="621"/>
      <c r="X60" s="621"/>
      <c r="Y60" s="621"/>
      <c r="Z60" s="621"/>
      <c r="AA60" s="621"/>
      <c r="AB60" s="621"/>
      <c r="AC60" s="621"/>
      <c r="AD60" s="621"/>
      <c r="AE60" s="621"/>
      <c r="AF60" s="621"/>
      <c r="AG60" s="621"/>
      <c r="AH60" s="621"/>
      <c r="AI60" s="621"/>
      <c r="AJ60" s="621"/>
      <c r="AK60" s="621"/>
      <c r="AL60" s="621"/>
      <c r="AM60" s="621"/>
      <c r="AN60" s="621"/>
      <c r="AO60" s="621"/>
      <c r="AP60" s="621"/>
      <c r="AQ60" s="621"/>
      <c r="AR60" s="621"/>
      <c r="AS60" s="621"/>
      <c r="AT60" s="621"/>
      <c r="AU60" s="621"/>
      <c r="AV60" s="621"/>
      <c r="AW60" s="621"/>
      <c r="AX60" s="621"/>
      <c r="AY60" s="621"/>
      <c r="AZ60" s="621"/>
      <c r="BA60" s="621"/>
      <c r="BB60" s="621"/>
      <c r="BC60" s="621"/>
      <c r="BD60" s="621"/>
      <c r="BE60" s="621"/>
      <c r="BF60" s="621"/>
      <c r="BG60" s="621"/>
      <c r="BH60" s="621"/>
      <c r="BI60" s="621"/>
      <c r="BJ60" s="621"/>
      <c r="BK60" s="621"/>
      <c r="BL60" s="621"/>
      <c r="BM60" s="621"/>
      <c r="BN60" s="621"/>
      <c r="BO60" s="621"/>
      <c r="BP60" s="621"/>
      <c r="BQ60" s="621"/>
      <c r="BR60" s="621"/>
      <c r="BS60" s="621"/>
      <c r="BT60" s="621"/>
      <c r="BU60" s="621"/>
      <c r="BV60" s="621"/>
      <c r="BW60" s="621"/>
      <c r="BX60" s="621"/>
      <c r="BY60" s="621"/>
      <c r="BZ60" s="621"/>
      <c r="CA60" s="621"/>
      <c r="CB60" s="621"/>
      <c r="CC60" s="621"/>
      <c r="CD60" s="621"/>
      <c r="CE60" s="621"/>
      <c r="CF60" s="621"/>
      <c r="CG60" s="621"/>
      <c r="CH60" s="621"/>
      <c r="CI60" s="621"/>
      <c r="CJ60" s="621"/>
      <c r="CK60" s="621"/>
      <c r="CL60" s="621"/>
      <c r="CM60" s="621"/>
      <c r="CN60" s="621"/>
      <c r="CO60" s="621"/>
      <c r="CP60" s="621"/>
      <c r="CQ60" s="621"/>
      <c r="CR60" s="621"/>
      <c r="CS60" s="621"/>
      <c r="CT60" s="621"/>
      <c r="CU60" s="621"/>
      <c r="CV60" s="621"/>
      <c r="CW60" s="621"/>
      <c r="CX60" s="621"/>
      <c r="CY60" s="621"/>
      <c r="CZ60" s="621"/>
      <c r="DA60" s="621"/>
      <c r="DB60" s="621"/>
      <c r="DC60" s="621"/>
      <c r="DD60" s="621"/>
      <c r="DE60" s="621"/>
      <c r="DF60" s="621"/>
      <c r="DG60" s="621"/>
      <c r="DH60" s="621"/>
      <c r="DI60" s="621"/>
      <c r="DJ60" s="621"/>
      <c r="DK60" s="621"/>
      <c r="DL60" s="621"/>
      <c r="DM60" s="621"/>
      <c r="DN60" s="621"/>
      <c r="DO60" s="621"/>
      <c r="DP60" s="621"/>
      <c r="DQ60" s="621"/>
      <c r="DR60" s="621"/>
      <c r="DS60" s="621"/>
      <c r="DT60" s="621"/>
      <c r="DU60" s="621"/>
      <c r="DV60" s="621"/>
      <c r="DW60" s="621"/>
      <c r="DX60" s="621"/>
      <c r="DY60" s="621"/>
      <c r="DZ60" s="621"/>
      <c r="EA60" s="621"/>
      <c r="EB60" s="621"/>
      <c r="EC60" s="621"/>
      <c r="ED60" s="621"/>
      <c r="EE60" s="621"/>
      <c r="EF60" s="621"/>
      <c r="EG60" s="621"/>
      <c r="EH60" s="621"/>
      <c r="EI60" s="621"/>
      <c r="EJ60" s="621"/>
      <c r="EK60" s="621"/>
      <c r="EL60" s="621"/>
      <c r="EM60" s="621"/>
      <c r="EN60" s="621"/>
      <c r="EO60" s="621"/>
      <c r="EP60" s="621"/>
      <c r="EQ60" s="621"/>
      <c r="ER60" s="621"/>
      <c r="ES60" s="621"/>
      <c r="ET60" s="621"/>
      <c r="EU60" s="621"/>
      <c r="EV60" s="621"/>
      <c r="EW60" s="621"/>
      <c r="EX60" s="621"/>
      <c r="EY60" s="621"/>
      <c r="EZ60" s="621"/>
      <c r="FA60" s="621"/>
      <c r="FB60" s="621"/>
      <c r="FC60" s="621"/>
      <c r="FD60" s="621"/>
      <c r="FE60" s="621"/>
      <c r="FF60" s="621"/>
      <c r="FG60" s="621"/>
      <c r="FH60" s="621"/>
      <c r="FI60" s="621"/>
      <c r="FJ60" s="621"/>
      <c r="FK60" s="621"/>
      <c r="FL60" s="621"/>
      <c r="FM60" s="621"/>
      <c r="FN60" s="621"/>
      <c r="FO60" s="621"/>
      <c r="FP60" s="621"/>
      <c r="FQ60" s="621"/>
      <c r="FR60" s="621"/>
      <c r="FS60" s="621"/>
      <c r="FT60" s="621"/>
      <c r="FU60" s="621"/>
      <c r="FV60" s="621"/>
      <c r="FW60" s="621"/>
      <c r="FX60" s="621"/>
      <c r="FY60" s="621"/>
      <c r="FZ60" s="621"/>
      <c r="GA60" s="621"/>
      <c r="GB60" s="621"/>
      <c r="GC60" s="621"/>
      <c r="GD60" s="621"/>
      <c r="GE60" s="621"/>
      <c r="GF60" s="621"/>
    </row>
    <row r="61" spans="1:188" s="177" customFormat="1" ht="25.5" customHeight="1">
      <c r="A61" s="331" t="s">
        <v>58</v>
      </c>
      <c r="B61" s="642" t="s">
        <v>411</v>
      </c>
      <c r="C61" s="642"/>
      <c r="D61" s="642"/>
      <c r="E61" s="642"/>
      <c r="F61" s="642"/>
      <c r="G61" s="336">
        <v>15.21</v>
      </c>
      <c r="H61" s="336">
        <v>1.5</v>
      </c>
      <c r="I61" s="329">
        <f>ROUND((I28/220)*G61*H61,2)</f>
        <v>228.57</v>
      </c>
      <c r="J61" s="353"/>
      <c r="K61" s="356">
        <f>ROUND((K28/220)*G61*H61,2)</f>
        <v>260.23</v>
      </c>
    </row>
    <row r="62" spans="1:188" s="177" customFormat="1" ht="20.100000000000001" customHeight="1">
      <c r="A62" s="717" t="s">
        <v>92</v>
      </c>
      <c r="B62" s="718"/>
      <c r="C62" s="718"/>
      <c r="D62" s="718"/>
      <c r="E62" s="718"/>
      <c r="F62" s="718"/>
      <c r="G62" s="718"/>
      <c r="H62" s="719"/>
      <c r="I62" s="319">
        <f>SUM(I61)</f>
        <v>228.57</v>
      </c>
      <c r="J62" s="243"/>
      <c r="K62" s="406">
        <f>SUM(K61)</f>
        <v>260.23</v>
      </c>
    </row>
    <row r="63" spans="1:188" s="177" customFormat="1" ht="20.100000000000001" customHeight="1">
      <c r="A63" s="720" t="s">
        <v>458</v>
      </c>
      <c r="B63" s="720"/>
      <c r="C63" s="720"/>
      <c r="D63" s="720"/>
      <c r="E63" s="720"/>
      <c r="F63" s="720"/>
      <c r="G63" s="720"/>
      <c r="H63" s="720"/>
      <c r="I63" s="720"/>
      <c r="J63" s="720"/>
      <c r="K63" s="720"/>
    </row>
    <row r="64" spans="1:188" s="177" customFormat="1" ht="20.100000000000001" customHeight="1">
      <c r="A64" s="654"/>
      <c r="B64" s="654"/>
      <c r="C64" s="654"/>
      <c r="D64" s="654"/>
      <c r="E64" s="654"/>
      <c r="F64" s="654"/>
      <c r="G64" s="654"/>
      <c r="H64" s="654"/>
      <c r="I64" s="654"/>
      <c r="J64" s="654"/>
      <c r="K64" s="654"/>
    </row>
    <row r="65" spans="1:11" s="177" customFormat="1" ht="20.100000000000001" customHeight="1">
      <c r="A65" s="569" t="s">
        <v>114</v>
      </c>
      <c r="B65" s="570"/>
      <c r="C65" s="570"/>
      <c r="D65" s="570"/>
      <c r="E65" s="570"/>
      <c r="F65" s="570"/>
      <c r="G65" s="570"/>
      <c r="H65" s="570"/>
      <c r="I65" s="570"/>
      <c r="J65" s="570"/>
      <c r="K65" s="572"/>
    </row>
    <row r="66" spans="1:11" s="177" customFormat="1" ht="20.100000000000001" customHeight="1">
      <c r="A66" s="327">
        <v>2</v>
      </c>
      <c r="B66" s="707" t="s">
        <v>115</v>
      </c>
      <c r="C66" s="708"/>
      <c r="D66" s="708"/>
      <c r="E66" s="708"/>
      <c r="F66" s="708"/>
      <c r="G66" s="708"/>
      <c r="H66" s="709"/>
      <c r="I66" s="327" t="s">
        <v>84</v>
      </c>
      <c r="J66" s="311"/>
      <c r="K66" s="327" t="s">
        <v>84</v>
      </c>
    </row>
    <row r="67" spans="1:11" s="177" customFormat="1" ht="20.100000000000001" customHeight="1">
      <c r="A67" s="316" t="s">
        <v>90</v>
      </c>
      <c r="B67" s="313" t="s">
        <v>91</v>
      </c>
      <c r="C67" s="314"/>
      <c r="D67" s="314"/>
      <c r="E67" s="314"/>
      <c r="F67" s="314"/>
      <c r="G67" s="314"/>
      <c r="H67" s="315"/>
      <c r="I67" s="268">
        <f>I34</f>
        <v>430.08</v>
      </c>
      <c r="J67" s="311"/>
      <c r="K67" s="268">
        <f>K34</f>
        <v>489.65000000000003</v>
      </c>
    </row>
    <row r="68" spans="1:11" s="177" customFormat="1" ht="20.100000000000001" customHeight="1">
      <c r="A68" s="316" t="s">
        <v>96</v>
      </c>
      <c r="B68" s="313" t="s">
        <v>97</v>
      </c>
      <c r="C68" s="314"/>
      <c r="D68" s="314"/>
      <c r="E68" s="314"/>
      <c r="F68" s="314"/>
      <c r="G68" s="314"/>
      <c r="H68" s="315"/>
      <c r="I68" s="268">
        <f>I48</f>
        <v>890.31000000000006</v>
      </c>
      <c r="J68" s="311"/>
      <c r="K68" s="268">
        <f>K48</f>
        <v>1013.64</v>
      </c>
    </row>
    <row r="69" spans="1:11" s="177" customFormat="1" ht="20.100000000000001" customHeight="1">
      <c r="A69" s="316" t="s">
        <v>109</v>
      </c>
      <c r="B69" s="313" t="s">
        <v>110</v>
      </c>
      <c r="C69" s="314"/>
      <c r="D69" s="314"/>
      <c r="E69" s="314"/>
      <c r="F69" s="314"/>
      <c r="G69" s="314"/>
      <c r="H69" s="315"/>
      <c r="I69" s="268">
        <f>I58</f>
        <v>753.96</v>
      </c>
      <c r="J69" s="311"/>
      <c r="K69" s="268">
        <f>K58</f>
        <v>753.96</v>
      </c>
    </row>
    <row r="70" spans="1:11" s="177" customFormat="1" ht="20.100000000000001" customHeight="1">
      <c r="A70" s="240" t="s">
        <v>448</v>
      </c>
      <c r="B70" s="655" t="s">
        <v>407</v>
      </c>
      <c r="C70" s="656"/>
      <c r="D70" s="656"/>
      <c r="E70" s="656"/>
      <c r="F70" s="656"/>
      <c r="G70" s="656"/>
      <c r="H70" s="657"/>
      <c r="I70" s="268">
        <f>I62</f>
        <v>228.57</v>
      </c>
      <c r="J70" s="270"/>
      <c r="K70" s="268">
        <f>K62</f>
        <v>260.23</v>
      </c>
    </row>
    <row r="71" spans="1:11" s="177" customFormat="1" ht="21" customHeight="1">
      <c r="A71" s="701" t="s">
        <v>92</v>
      </c>
      <c r="B71" s="702"/>
      <c r="C71" s="702"/>
      <c r="D71" s="702"/>
      <c r="E71" s="702"/>
      <c r="F71" s="702"/>
      <c r="G71" s="702"/>
      <c r="H71" s="703"/>
      <c r="I71" s="319">
        <f>SUM(I67:I70)</f>
        <v>2302.9200000000005</v>
      </c>
      <c r="J71" s="311"/>
      <c r="K71" s="319">
        <f>SUM(K67:K70)</f>
        <v>2517.48</v>
      </c>
    </row>
    <row r="72" spans="1:11" s="177" customFormat="1" ht="20.100000000000001" customHeight="1">
      <c r="A72" s="704" t="s">
        <v>116</v>
      </c>
      <c r="B72" s="705"/>
      <c r="C72" s="705"/>
      <c r="D72" s="705"/>
      <c r="E72" s="705"/>
      <c r="F72" s="705"/>
      <c r="G72" s="705"/>
      <c r="H72" s="705"/>
      <c r="I72" s="705"/>
      <c r="J72" s="705"/>
      <c r="K72" s="706"/>
    </row>
    <row r="73" spans="1:11" s="177" customFormat="1" ht="20.100000000000001" customHeight="1">
      <c r="A73" s="295">
        <v>3</v>
      </c>
      <c r="B73" s="605" t="s">
        <v>117</v>
      </c>
      <c r="C73" s="605"/>
      <c r="D73" s="605"/>
      <c r="E73" s="605"/>
      <c r="F73" s="605"/>
      <c r="G73" s="605"/>
      <c r="H73" s="605"/>
      <c r="I73" s="327" t="s">
        <v>84</v>
      </c>
      <c r="J73" s="357"/>
      <c r="K73" s="420" t="s">
        <v>84</v>
      </c>
    </row>
    <row r="74" spans="1:11" s="177" customFormat="1" ht="20.100000000000001" customHeight="1">
      <c r="A74" s="235" t="s">
        <v>58</v>
      </c>
      <c r="B74" s="590" t="s">
        <v>118</v>
      </c>
      <c r="C74" s="590"/>
      <c r="D74" s="590"/>
      <c r="E74" s="590"/>
      <c r="F74" s="590"/>
      <c r="G74" s="590"/>
      <c r="H74" s="476">
        <v>4.1999999999999997E-3</v>
      </c>
      <c r="I74" s="259">
        <f>TRUNC($I$28*H74,2)</f>
        <v>9.25</v>
      </c>
      <c r="J74" s="357"/>
      <c r="K74" s="421">
        <f>TRUNC($K$28*H74,2)</f>
        <v>10.53</v>
      </c>
    </row>
    <row r="75" spans="1:11" s="177" customFormat="1" ht="21.6" customHeight="1">
      <c r="A75" s="235" t="s">
        <v>60</v>
      </c>
      <c r="B75" s="590" t="s">
        <v>119</v>
      </c>
      <c r="C75" s="590"/>
      <c r="D75" s="590"/>
      <c r="E75" s="590"/>
      <c r="F75" s="590"/>
      <c r="G75" s="590"/>
      <c r="H75" s="459">
        <f>H47*H74</f>
        <v>3.3599999999999998E-4</v>
      </c>
      <c r="I75" s="259">
        <f>TRUNC(I28*H75,2)</f>
        <v>0.74</v>
      </c>
      <c r="J75" s="357"/>
      <c r="K75" s="421">
        <f>TRUNC(K28*H75,2)</f>
        <v>0.84</v>
      </c>
    </row>
    <row r="76" spans="1:11" s="177" customFormat="1" ht="26.25" customHeight="1">
      <c r="A76" s="235" t="s">
        <v>63</v>
      </c>
      <c r="B76" s="585" t="s">
        <v>120</v>
      </c>
      <c r="C76" s="585"/>
      <c r="D76" s="585"/>
      <c r="E76" s="585"/>
      <c r="F76" s="585"/>
      <c r="G76" s="585"/>
      <c r="H76" s="255">
        <v>1.9439999999999999E-2</v>
      </c>
      <c r="I76" s="253">
        <f>TRUNC(($I$28*H76),2)</f>
        <v>42.84</v>
      </c>
      <c r="J76" s="588"/>
      <c r="K76" s="421">
        <f>TRUNC(($K$28*H76),2)</f>
        <v>48.78</v>
      </c>
    </row>
    <row r="77" spans="1:11" s="177" customFormat="1" ht="26.25" customHeight="1">
      <c r="A77" s="235" t="s">
        <v>65</v>
      </c>
      <c r="B77" s="585" t="s">
        <v>121</v>
      </c>
      <c r="C77" s="585"/>
      <c r="D77" s="585"/>
      <c r="E77" s="585"/>
      <c r="F77" s="585"/>
      <c r="G77" s="585"/>
      <c r="H77" s="459">
        <f>H48*H76</f>
        <v>6.5707200000000004E-3</v>
      </c>
      <c r="I77" s="253">
        <f>TRUNC(I28*H77,2)</f>
        <v>14.48</v>
      </c>
      <c r="J77" s="588"/>
      <c r="K77" s="421">
        <f>TRUNC(K28*H77,2)</f>
        <v>16.48</v>
      </c>
    </row>
    <row r="78" spans="1:11" s="177" customFormat="1" ht="28.15" customHeight="1">
      <c r="A78" s="235" t="s">
        <v>49</v>
      </c>
      <c r="B78" s="585" t="s">
        <v>122</v>
      </c>
      <c r="C78" s="585"/>
      <c r="D78" s="585"/>
      <c r="E78" s="585"/>
      <c r="F78" s="585"/>
      <c r="G78" s="585"/>
      <c r="H78" s="255">
        <v>0.04</v>
      </c>
      <c r="I78" s="253">
        <f>TRUNC(($I$28*H78),2)</f>
        <v>88.16</v>
      </c>
      <c r="J78" s="588"/>
      <c r="K78" s="421">
        <f>TRUNC(($K$28*H78),2)</f>
        <v>100.37</v>
      </c>
    </row>
    <row r="79" spans="1:11" s="177" customFormat="1" ht="20.25" customHeight="1" thickBot="1">
      <c r="A79" s="594" t="s">
        <v>92</v>
      </c>
      <c r="B79" s="594"/>
      <c r="C79" s="594"/>
      <c r="D79" s="594"/>
      <c r="E79" s="594"/>
      <c r="F79" s="594"/>
      <c r="G79" s="594"/>
      <c r="H79" s="260">
        <f>SUM(H74:H78)</f>
        <v>7.0546720000000007E-2</v>
      </c>
      <c r="I79" s="271">
        <f>SUM(I74:I78)</f>
        <v>155.47</v>
      </c>
      <c r="J79" s="588"/>
      <c r="K79" s="426">
        <f>SUM(K74:K78)</f>
        <v>177</v>
      </c>
    </row>
    <row r="80" spans="1:11" s="177" customFormat="1" ht="20.25" customHeight="1" thickTop="1" thickBot="1">
      <c r="A80" s="580" t="s">
        <v>451</v>
      </c>
      <c r="B80" s="581"/>
      <c r="C80" s="581"/>
      <c r="D80" s="581"/>
      <c r="E80" s="581"/>
      <c r="F80" s="582"/>
      <c r="G80" s="583" t="s">
        <v>94</v>
      </c>
      <c r="H80" s="584"/>
      <c r="I80" s="302">
        <f>I28</f>
        <v>2204.0500000000002</v>
      </c>
      <c r="J80" s="588"/>
      <c r="K80" s="425">
        <f>K28</f>
        <v>2509.35</v>
      </c>
    </row>
    <row r="81" spans="1:12" s="177" customFormat="1" ht="20.100000000000001" customHeight="1" thickTop="1">
      <c r="A81" s="710" t="s">
        <v>124</v>
      </c>
      <c r="B81" s="711"/>
      <c r="C81" s="711"/>
      <c r="D81" s="711"/>
      <c r="E81" s="711"/>
      <c r="F81" s="711"/>
      <c r="G81" s="711"/>
      <c r="H81" s="711"/>
      <c r="I81" s="711"/>
      <c r="J81" s="711"/>
      <c r="K81" s="712"/>
    </row>
    <row r="82" spans="1:12" ht="20.100000000000001" customHeight="1">
      <c r="A82" s="713" t="s">
        <v>405</v>
      </c>
      <c r="B82" s="714"/>
      <c r="C82" s="714"/>
      <c r="D82" s="714"/>
      <c r="E82" s="714"/>
      <c r="F82" s="714"/>
      <c r="G82" s="714"/>
      <c r="H82" s="714"/>
      <c r="I82" s="714"/>
      <c r="J82" s="659"/>
      <c r="K82" s="715"/>
    </row>
    <row r="83" spans="1:12" s="177" customFormat="1" ht="20.100000000000001" customHeight="1">
      <c r="A83" s="295" t="s">
        <v>125</v>
      </c>
      <c r="B83" s="716" t="s">
        <v>126</v>
      </c>
      <c r="C83" s="716"/>
      <c r="D83" s="716"/>
      <c r="E83" s="716"/>
      <c r="F83" s="716"/>
      <c r="G83" s="716"/>
      <c r="H83" s="716"/>
      <c r="I83" s="327" t="s">
        <v>84</v>
      </c>
      <c r="J83" s="622"/>
      <c r="K83" s="327" t="s">
        <v>84</v>
      </c>
    </row>
    <row r="84" spans="1:12" s="177" customFormat="1" ht="25.15" customHeight="1">
      <c r="A84" s="235" t="s">
        <v>58</v>
      </c>
      <c r="B84" s="585" t="s">
        <v>395</v>
      </c>
      <c r="C84" s="585"/>
      <c r="D84" s="585"/>
      <c r="E84" s="585"/>
      <c r="F84" s="585"/>
      <c r="G84" s="585"/>
      <c r="H84" s="255">
        <f>((1+1/3)/12)/12</f>
        <v>9.2592592592592587E-3</v>
      </c>
      <c r="I84" s="259">
        <f>TRUNC($I$80*H84,2)</f>
        <v>20.399999999999999</v>
      </c>
      <c r="J84" s="619"/>
      <c r="K84" s="259">
        <f>TRUNC($K$80*H84,2)</f>
        <v>23.23</v>
      </c>
    </row>
    <row r="85" spans="1:12" s="177" customFormat="1" ht="20.100000000000001" customHeight="1">
      <c r="A85" s="235" t="s">
        <v>60</v>
      </c>
      <c r="B85" s="590" t="s">
        <v>127</v>
      </c>
      <c r="C85" s="590"/>
      <c r="D85" s="590"/>
      <c r="E85" s="590"/>
      <c r="F85" s="590"/>
      <c r="G85" s="590"/>
      <c r="H85" s="461">
        <f>(1/30)/12</f>
        <v>2.7777777777777779E-3</v>
      </c>
      <c r="I85" s="259">
        <f t="shared" ref="I85:I89" si="2">TRUNC($I$80*H85,2)</f>
        <v>6.12</v>
      </c>
      <c r="J85" s="619"/>
      <c r="K85" s="259">
        <f t="shared" ref="K85:K89" si="3">TRUNC($K$80*H85,2)</f>
        <v>6.97</v>
      </c>
      <c r="L85" s="438" t="s">
        <v>440</v>
      </c>
    </row>
    <row r="86" spans="1:12" s="177" customFormat="1" ht="20.100000000000001" customHeight="1">
      <c r="A86" s="235" t="s">
        <v>63</v>
      </c>
      <c r="B86" s="590" t="s">
        <v>404</v>
      </c>
      <c r="C86" s="590"/>
      <c r="D86" s="590"/>
      <c r="E86" s="590"/>
      <c r="F86" s="590"/>
      <c r="G86" s="590"/>
      <c r="H86" s="461">
        <f>0.1111*0.02*0.333</f>
        <v>7.3992600000000002E-4</v>
      </c>
      <c r="I86" s="259">
        <f t="shared" si="2"/>
        <v>1.63</v>
      </c>
      <c r="J86" s="619"/>
      <c r="K86" s="259">
        <f t="shared" si="3"/>
        <v>1.85</v>
      </c>
      <c r="L86" s="438" t="s">
        <v>443</v>
      </c>
    </row>
    <row r="87" spans="1:12" s="177" customFormat="1" ht="20.100000000000001" customHeight="1">
      <c r="A87" s="235" t="s">
        <v>65</v>
      </c>
      <c r="B87" s="577" t="s">
        <v>403</v>
      </c>
      <c r="C87" s="578"/>
      <c r="D87" s="578"/>
      <c r="E87" s="578"/>
      <c r="F87" s="578"/>
      <c r="G87" s="579"/>
      <c r="H87" s="461">
        <f>5/30/12*0.015</f>
        <v>2.0833333333333332E-4</v>
      </c>
      <c r="I87" s="259">
        <f t="shared" si="2"/>
        <v>0.45</v>
      </c>
      <c r="J87" s="619"/>
      <c r="K87" s="259">
        <f t="shared" si="3"/>
        <v>0.52</v>
      </c>
      <c r="L87" s="438" t="s">
        <v>441</v>
      </c>
    </row>
    <row r="88" spans="1:12" s="177" customFormat="1" ht="20.100000000000001" customHeight="1">
      <c r="A88" s="235" t="s">
        <v>49</v>
      </c>
      <c r="B88" s="590" t="s">
        <v>128</v>
      </c>
      <c r="C88" s="590"/>
      <c r="D88" s="590"/>
      <c r="E88" s="590"/>
      <c r="F88" s="590"/>
      <c r="G88" s="590"/>
      <c r="H88" s="461">
        <f>15/30/12*0.08</f>
        <v>3.3333333333333331E-3</v>
      </c>
      <c r="I88" s="259">
        <f t="shared" si="2"/>
        <v>7.34</v>
      </c>
      <c r="J88" s="619"/>
      <c r="K88" s="259">
        <f t="shared" si="3"/>
        <v>8.36</v>
      </c>
      <c r="L88" s="438" t="s">
        <v>442</v>
      </c>
    </row>
    <row r="89" spans="1:12" s="177" customFormat="1" ht="20.100000000000001" customHeight="1">
      <c r="A89" s="235" t="s">
        <v>102</v>
      </c>
      <c r="B89" s="590" t="s">
        <v>129</v>
      </c>
      <c r="C89" s="590"/>
      <c r="D89" s="590"/>
      <c r="E89" s="590"/>
      <c r="F89" s="590"/>
      <c r="G89" s="590"/>
      <c r="H89" s="461">
        <f>5/30/12</f>
        <v>1.3888888888888888E-2</v>
      </c>
      <c r="I89" s="259">
        <f t="shared" si="2"/>
        <v>30.61</v>
      </c>
      <c r="J89" s="619"/>
      <c r="K89" s="259">
        <f t="shared" si="3"/>
        <v>34.85</v>
      </c>
      <c r="L89" s="438" t="s">
        <v>444</v>
      </c>
    </row>
    <row r="90" spans="1:12" s="177" customFormat="1" ht="20.100000000000001" customHeight="1">
      <c r="A90" s="594" t="s">
        <v>92</v>
      </c>
      <c r="B90" s="594"/>
      <c r="C90" s="594"/>
      <c r="D90" s="594"/>
      <c r="E90" s="594"/>
      <c r="F90" s="594"/>
      <c r="G90" s="594"/>
      <c r="H90" s="594"/>
      <c r="I90" s="261">
        <f>SUM(I84:I89)</f>
        <v>66.55</v>
      </c>
      <c r="J90" s="623"/>
      <c r="K90" s="261">
        <f>SUM(K84:K89)</f>
        <v>75.78</v>
      </c>
    </row>
    <row r="92" spans="1:12" s="177" customFormat="1" ht="18" customHeight="1">
      <c r="A92" s="569" t="s">
        <v>130</v>
      </c>
      <c r="B92" s="570"/>
      <c r="C92" s="570"/>
      <c r="D92" s="570"/>
      <c r="E92" s="570"/>
      <c r="F92" s="570"/>
      <c r="G92" s="570"/>
      <c r="H92" s="570"/>
      <c r="I92" s="570"/>
      <c r="J92" s="570"/>
      <c r="K92" s="572"/>
    </row>
    <row r="93" spans="1:12" s="177" customFormat="1" ht="20.100000000000001" customHeight="1">
      <c r="A93" s="326">
        <v>5</v>
      </c>
      <c r="B93" s="648" t="s">
        <v>131</v>
      </c>
      <c r="C93" s="648"/>
      <c r="D93" s="648"/>
      <c r="E93" s="648"/>
      <c r="F93" s="648"/>
      <c r="G93" s="648"/>
      <c r="H93" s="648"/>
      <c r="I93" s="327" t="s">
        <v>84</v>
      </c>
      <c r="J93" s="537"/>
      <c r="K93" s="327" t="s">
        <v>84</v>
      </c>
    </row>
    <row r="94" spans="1:12" s="177" customFormat="1" ht="20.100000000000001" customHeight="1">
      <c r="A94" s="235" t="s">
        <v>58</v>
      </c>
      <c r="B94" s="590" t="s">
        <v>132</v>
      </c>
      <c r="C94" s="590"/>
      <c r="D94" s="590"/>
      <c r="E94" s="590"/>
      <c r="F94" s="590"/>
      <c r="G94" s="590"/>
      <c r="H94" s="590"/>
      <c r="I94" s="264">
        <f>'Uniforme '!F12</f>
        <v>80.819333333333333</v>
      </c>
      <c r="J94" s="538"/>
      <c r="K94" s="264">
        <f>'Uniforme '!F12</f>
        <v>80.819333333333333</v>
      </c>
    </row>
    <row r="95" spans="1:12" s="177" customFormat="1" ht="20.100000000000001" customHeight="1">
      <c r="A95" s="235" t="s">
        <v>60</v>
      </c>
      <c r="B95" s="577" t="s">
        <v>417</v>
      </c>
      <c r="C95" s="578"/>
      <c r="D95" s="578"/>
      <c r="E95" s="578"/>
      <c r="F95" s="578"/>
      <c r="G95" s="578"/>
      <c r="H95" s="579"/>
      <c r="I95" s="264">
        <f>'EPIs e materiais'!G16</f>
        <v>52.38048055555555</v>
      </c>
      <c r="J95" s="538"/>
      <c r="K95" s="264">
        <f>'EPIs e materiais'!G16</f>
        <v>52.38048055555555</v>
      </c>
    </row>
    <row r="96" spans="1:12" s="177" customFormat="1" ht="20.100000000000001" customHeight="1">
      <c r="A96" s="235" t="s">
        <v>63</v>
      </c>
      <c r="B96" s="577" t="s">
        <v>133</v>
      </c>
      <c r="C96" s="578"/>
      <c r="D96" s="578"/>
      <c r="E96" s="578"/>
      <c r="F96" s="578"/>
      <c r="G96" s="578"/>
      <c r="H96" s="579"/>
      <c r="I96" s="264"/>
      <c r="J96" s="538"/>
      <c r="K96" s="264"/>
    </row>
    <row r="97" spans="1:11" s="177" customFormat="1" ht="20.100000000000001" customHeight="1">
      <c r="A97" s="594" t="s">
        <v>134</v>
      </c>
      <c r="B97" s="594"/>
      <c r="C97" s="594"/>
      <c r="D97" s="594"/>
      <c r="E97" s="594"/>
      <c r="F97" s="594"/>
      <c r="G97" s="594"/>
      <c r="H97" s="594"/>
      <c r="I97" s="261">
        <f>TRUNC(SUM(I94:I95),2)</f>
        <v>133.19</v>
      </c>
      <c r="J97" s="538"/>
      <c r="K97" s="261">
        <f>TRUNC(SUM(K94:K95),2)</f>
        <v>133.19</v>
      </c>
    </row>
    <row r="98" spans="1:11" s="177" customFormat="1" ht="20.100000000000001" customHeight="1" thickBot="1">
      <c r="A98" s="598" t="s">
        <v>135</v>
      </c>
      <c r="B98" s="598"/>
      <c r="C98" s="598"/>
      <c r="D98" s="598"/>
      <c r="E98" s="598"/>
      <c r="F98" s="598"/>
      <c r="G98" s="598"/>
      <c r="H98" s="598"/>
      <c r="I98" s="598"/>
      <c r="J98" s="538"/>
      <c r="K98" s="272"/>
    </row>
    <row r="99" spans="1:11" s="177" customFormat="1" ht="20.100000000000001" customHeight="1" thickTop="1" thickBot="1">
      <c r="A99" s="580" t="s">
        <v>136</v>
      </c>
      <c r="B99" s="581"/>
      <c r="C99" s="581"/>
      <c r="D99" s="581"/>
      <c r="E99" s="581"/>
      <c r="F99" s="582"/>
      <c r="G99" s="583" t="s">
        <v>94</v>
      </c>
      <c r="H99" s="584"/>
      <c r="I99" s="273">
        <f>I28</f>
        <v>2204.0500000000002</v>
      </c>
      <c r="J99" s="538"/>
      <c r="K99" s="274">
        <f>K28</f>
        <v>2509.35</v>
      </c>
    </row>
    <row r="100" spans="1:11" s="177" customFormat="1" ht="20.100000000000001" customHeight="1" thickTop="1" thickBot="1">
      <c r="A100" s="599"/>
      <c r="B100" s="600"/>
      <c r="C100" s="600"/>
      <c r="D100" s="600"/>
      <c r="E100" s="600"/>
      <c r="F100" s="601"/>
      <c r="G100" s="583" t="s">
        <v>137</v>
      </c>
      <c r="H100" s="584"/>
      <c r="I100" s="273">
        <f>I71</f>
        <v>2302.9200000000005</v>
      </c>
      <c r="J100" s="538"/>
      <c r="K100" s="274">
        <f>K71</f>
        <v>2517.48</v>
      </c>
    </row>
    <row r="101" spans="1:11" s="177" customFormat="1" ht="20.100000000000001" customHeight="1" thickTop="1" thickBot="1">
      <c r="A101" s="599"/>
      <c r="B101" s="600"/>
      <c r="C101" s="600"/>
      <c r="D101" s="600"/>
      <c r="E101" s="600"/>
      <c r="F101" s="601"/>
      <c r="G101" s="583" t="s">
        <v>138</v>
      </c>
      <c r="H101" s="584"/>
      <c r="I101" s="273">
        <f>I79</f>
        <v>155.47</v>
      </c>
      <c r="J101" s="538"/>
      <c r="K101" s="274">
        <f>K79</f>
        <v>177</v>
      </c>
    </row>
    <row r="102" spans="1:11" s="177" customFormat="1" ht="20.100000000000001" customHeight="1" thickTop="1" thickBot="1">
      <c r="A102" s="599"/>
      <c r="B102" s="600"/>
      <c r="C102" s="600"/>
      <c r="D102" s="600"/>
      <c r="E102" s="600"/>
      <c r="F102" s="601"/>
      <c r="G102" s="583" t="s">
        <v>139</v>
      </c>
      <c r="H102" s="584"/>
      <c r="I102" s="273">
        <f>I90</f>
        <v>66.55</v>
      </c>
      <c r="J102" s="538"/>
      <c r="K102" s="274">
        <f>K90</f>
        <v>75.78</v>
      </c>
    </row>
    <row r="103" spans="1:11" s="177" customFormat="1" ht="20.100000000000001" customHeight="1" thickTop="1" thickBot="1">
      <c r="A103" s="599"/>
      <c r="B103" s="600"/>
      <c r="C103" s="600"/>
      <c r="D103" s="600"/>
      <c r="E103" s="600"/>
      <c r="F103" s="601"/>
      <c r="G103" s="583" t="s">
        <v>140</v>
      </c>
      <c r="H103" s="584"/>
      <c r="I103" s="273">
        <f>I97</f>
        <v>133.19</v>
      </c>
      <c r="J103" s="538"/>
      <c r="K103" s="274">
        <f>K97</f>
        <v>133.19</v>
      </c>
    </row>
    <row r="104" spans="1:11" s="177" customFormat="1" ht="20.100000000000001" customHeight="1" thickTop="1">
      <c r="A104" s="599"/>
      <c r="B104" s="722"/>
      <c r="C104" s="722"/>
      <c r="D104" s="722"/>
      <c r="E104" s="722"/>
      <c r="F104" s="601"/>
      <c r="G104" s="580" t="s">
        <v>123</v>
      </c>
      <c r="H104" s="582"/>
      <c r="I104" s="428">
        <f>SUM(I99:I103)</f>
        <v>4862.1800000000012</v>
      </c>
      <c r="J104" s="537"/>
      <c r="K104" s="429">
        <f>SUM(K99:K103)</f>
        <v>5412.7999999999993</v>
      </c>
    </row>
    <row r="105" spans="1:11" s="177" customFormat="1" ht="20.100000000000001" customHeight="1">
      <c r="A105" s="723" t="s">
        <v>141</v>
      </c>
      <c r="B105" s="724"/>
      <c r="C105" s="724"/>
      <c r="D105" s="724"/>
      <c r="E105" s="724"/>
      <c r="F105" s="724"/>
      <c r="G105" s="724"/>
      <c r="H105" s="724"/>
      <c r="I105" s="724"/>
      <c r="J105" s="724"/>
      <c r="K105" s="725"/>
    </row>
    <row r="106" spans="1:11" s="177" customFormat="1" ht="25.15" customHeight="1">
      <c r="A106" s="295">
        <v>6</v>
      </c>
      <c r="B106" s="716" t="s">
        <v>142</v>
      </c>
      <c r="C106" s="716"/>
      <c r="D106" s="716"/>
      <c r="E106" s="716"/>
      <c r="F106" s="716"/>
      <c r="G106" s="716"/>
      <c r="H106" s="275" t="s">
        <v>83</v>
      </c>
      <c r="I106" s="430" t="s">
        <v>84</v>
      </c>
      <c r="J106" s="535"/>
      <c r="K106" s="430" t="s">
        <v>84</v>
      </c>
    </row>
    <row r="107" spans="1:11" s="177" customFormat="1" ht="22.9" customHeight="1">
      <c r="A107" s="235" t="s">
        <v>58</v>
      </c>
      <c r="B107" s="590" t="s">
        <v>143</v>
      </c>
      <c r="C107" s="590"/>
      <c r="D107" s="590"/>
      <c r="E107" s="590"/>
      <c r="F107" s="590"/>
      <c r="G107" s="590"/>
      <c r="H107" s="466">
        <v>0</v>
      </c>
      <c r="I107" s="259">
        <f>ROUND(H107*I127,2)</f>
        <v>0</v>
      </c>
      <c r="J107" s="535"/>
      <c r="K107" s="259">
        <f>ROUND(H107*K127,2)</f>
        <v>0</v>
      </c>
    </row>
    <row r="108" spans="1:11" s="177" customFormat="1" ht="21" customHeight="1">
      <c r="A108" s="235" t="s">
        <v>60</v>
      </c>
      <c r="B108" s="590" t="s">
        <v>144</v>
      </c>
      <c r="C108" s="590"/>
      <c r="D108" s="590"/>
      <c r="E108" s="590"/>
      <c r="F108" s="590"/>
      <c r="G108" s="590"/>
      <c r="H108" s="466">
        <v>0</v>
      </c>
      <c r="I108" s="259">
        <f>ROUND((I127+I107)*H108,2)</f>
        <v>0</v>
      </c>
      <c r="J108" s="535"/>
      <c r="K108" s="259">
        <f>ROUND((K127+K107)*H108,2)</f>
        <v>0</v>
      </c>
    </row>
    <row r="109" spans="1:11" s="177" customFormat="1" ht="25.5" customHeight="1">
      <c r="A109" s="280"/>
      <c r="B109" s="591" t="s">
        <v>145</v>
      </c>
      <c r="C109" s="592"/>
      <c r="D109" s="592"/>
      <c r="E109" s="592"/>
      <c r="F109" s="593"/>
      <c r="G109" s="646" t="s">
        <v>146</v>
      </c>
      <c r="H109" s="647"/>
      <c r="I109" s="281">
        <f>I107+I108+I104</f>
        <v>4862.1800000000012</v>
      </c>
      <c r="J109" s="535"/>
      <c r="K109" s="281">
        <f>K107+K108+K104</f>
        <v>5412.7999999999993</v>
      </c>
    </row>
    <row r="110" spans="1:11" s="177" customFormat="1" ht="23.25" customHeight="1">
      <c r="A110" s="555" t="s">
        <v>63</v>
      </c>
      <c r="B110" s="726" t="s">
        <v>147</v>
      </c>
      <c r="C110" s="727"/>
      <c r="D110" s="727"/>
      <c r="E110" s="727"/>
      <c r="F110" s="728"/>
      <c r="G110" s="431">
        <f>(H117*100)</f>
        <v>8.6499999999999986</v>
      </c>
      <c r="H110" s="432">
        <f>+(100-G110)/100</f>
        <v>0.91349999999999998</v>
      </c>
      <c r="I110" s="290">
        <f>I109/H110</f>
        <v>5322.5834701696785</v>
      </c>
      <c r="J110" s="535"/>
      <c r="K110" s="290">
        <f>K109/H110</f>
        <v>5925.3420908593316</v>
      </c>
    </row>
    <row r="111" spans="1:11" s="177" customFormat="1" ht="20.100000000000001" customHeight="1">
      <c r="A111" s="540"/>
      <c r="B111" s="729" t="s">
        <v>148</v>
      </c>
      <c r="C111" s="730"/>
      <c r="D111" s="730"/>
      <c r="E111" s="730"/>
      <c r="F111" s="730"/>
      <c r="G111" s="730"/>
      <c r="H111" s="730"/>
      <c r="I111" s="730"/>
      <c r="J111" s="730"/>
      <c r="K111" s="731"/>
    </row>
    <row r="112" spans="1:11" s="177" customFormat="1" ht="27.75" customHeight="1">
      <c r="A112" s="555"/>
      <c r="B112" s="630" t="s">
        <v>396</v>
      </c>
      <c r="C112" s="732"/>
      <c r="D112" s="732"/>
      <c r="E112" s="732"/>
      <c r="F112" s="732"/>
      <c r="G112" s="732"/>
      <c r="H112" s="467">
        <v>6.4999999999999997E-3</v>
      </c>
      <c r="I112" s="433">
        <f>I110*H112</f>
        <v>34.596792556102912</v>
      </c>
      <c r="J112" s="535"/>
      <c r="K112" s="433">
        <f>K110*H112</f>
        <v>38.514723590585653</v>
      </c>
    </row>
    <row r="113" spans="1:11" s="177" customFormat="1" ht="20.100000000000001" customHeight="1">
      <c r="A113" s="555"/>
      <c r="B113" s="590" t="s">
        <v>397</v>
      </c>
      <c r="C113" s="617"/>
      <c r="D113" s="617"/>
      <c r="E113" s="617"/>
      <c r="F113" s="617"/>
      <c r="G113" s="617"/>
      <c r="H113" s="468">
        <v>0.03</v>
      </c>
      <c r="I113" s="259">
        <f>I110*H113</f>
        <v>159.67750410509035</v>
      </c>
      <c r="J113" s="535"/>
      <c r="K113" s="259">
        <f>K110*H113</f>
        <v>177.76026272577994</v>
      </c>
    </row>
    <row r="114" spans="1:11" s="177" customFormat="1" ht="20.100000000000001" customHeight="1">
      <c r="A114" s="555"/>
      <c r="B114" s="287" t="s">
        <v>149</v>
      </c>
      <c r="C114" s="288"/>
      <c r="D114" s="288"/>
      <c r="E114" s="288"/>
      <c r="F114" s="288"/>
      <c r="G114" s="288"/>
      <c r="H114" s="469"/>
      <c r="I114" s="259"/>
      <c r="J114" s="535"/>
      <c r="K114" s="259"/>
    </row>
    <row r="115" spans="1:11" s="177" customFormat="1" ht="20.100000000000001" customHeight="1">
      <c r="A115" s="555"/>
      <c r="B115" s="590" t="s">
        <v>398</v>
      </c>
      <c r="C115" s="590"/>
      <c r="D115" s="590"/>
      <c r="E115" s="590"/>
      <c r="F115" s="590"/>
      <c r="G115" s="590"/>
      <c r="H115" s="470">
        <v>0.05</v>
      </c>
      <c r="I115" s="259">
        <f>I110*H115</f>
        <v>266.12917350848392</v>
      </c>
      <c r="J115" s="535"/>
      <c r="K115" s="259">
        <f>K110*H115</f>
        <v>296.26710454296659</v>
      </c>
    </row>
    <row r="116" spans="1:11" s="177" customFormat="1" ht="20.100000000000001" customHeight="1">
      <c r="A116" s="555"/>
      <c r="B116" s="590" t="s">
        <v>399</v>
      </c>
      <c r="C116" s="590"/>
      <c r="D116" s="590"/>
      <c r="E116" s="590"/>
      <c r="F116" s="590"/>
      <c r="G116" s="590"/>
      <c r="H116" s="468">
        <v>0</v>
      </c>
      <c r="I116" s="259">
        <f>I110*H116</f>
        <v>0</v>
      </c>
      <c r="J116" s="535"/>
      <c r="K116" s="259">
        <f>K110*H116</f>
        <v>0</v>
      </c>
    </row>
    <row r="117" spans="1:11" s="177" customFormat="1" ht="20.100000000000001" customHeight="1">
      <c r="A117" s="611" t="s">
        <v>150</v>
      </c>
      <c r="B117" s="612"/>
      <c r="C117" s="612"/>
      <c r="D117" s="612"/>
      <c r="E117" s="612"/>
      <c r="F117" s="612"/>
      <c r="G117" s="613"/>
      <c r="H117" s="471">
        <f>SUM(H112:H116)</f>
        <v>8.6499999999999994E-2</v>
      </c>
      <c r="I117" s="259">
        <f>SUM(I112:I116)</f>
        <v>460.40347016967718</v>
      </c>
      <c r="J117" s="535"/>
      <c r="K117" s="259">
        <f>SUM(K112:K116)</f>
        <v>512.54209085933212</v>
      </c>
    </row>
    <row r="118" spans="1:11" s="177" customFormat="1" ht="16.5" customHeight="1">
      <c r="A118" s="651" t="s">
        <v>151</v>
      </c>
      <c r="B118" s="664"/>
      <c r="C118" s="664"/>
      <c r="D118" s="664"/>
      <c r="E118" s="664"/>
      <c r="F118" s="664"/>
      <c r="G118" s="664"/>
      <c r="H118" s="665"/>
      <c r="I118" s="261">
        <f>I107+I108+I117</f>
        <v>460.40347016967718</v>
      </c>
      <c r="J118" s="535"/>
      <c r="K118" s="261">
        <f>K107+K108+K117</f>
        <v>512.54209085933212</v>
      </c>
    </row>
    <row r="119" spans="1:11" s="177" customFormat="1" ht="20.100000000000001" customHeight="1">
      <c r="A119" s="614" t="s">
        <v>152</v>
      </c>
      <c r="B119" s="615"/>
      <c r="C119" s="615"/>
      <c r="D119" s="615"/>
      <c r="E119" s="615"/>
      <c r="F119" s="615"/>
      <c r="G119" s="615"/>
      <c r="H119" s="616"/>
      <c r="I119" s="418">
        <f>I118</f>
        <v>460.40347016967718</v>
      </c>
      <c r="J119" s="535"/>
      <c r="K119" s="418">
        <f>K118</f>
        <v>512.54209085933212</v>
      </c>
    </row>
    <row r="120" spans="1:11" s="177" customFormat="1" ht="20.100000000000001" customHeight="1">
      <c r="A120" s="643" t="s">
        <v>153</v>
      </c>
      <c r="B120" s="644"/>
      <c r="C120" s="644"/>
      <c r="D120" s="644"/>
      <c r="E120" s="644"/>
      <c r="F120" s="644"/>
      <c r="G120" s="644"/>
      <c r="H120" s="644"/>
      <c r="I120" s="644"/>
      <c r="J120" s="644"/>
      <c r="K120" s="645"/>
    </row>
    <row r="121" spans="1:11" s="177" customFormat="1" ht="22.15" customHeight="1">
      <c r="A121" s="605" t="s">
        <v>154</v>
      </c>
      <c r="B121" s="605"/>
      <c r="C121" s="605"/>
      <c r="D121" s="605"/>
      <c r="E121" s="605"/>
      <c r="F121" s="605"/>
      <c r="G121" s="605"/>
      <c r="H121" s="605"/>
      <c r="I121" s="327" t="s">
        <v>84</v>
      </c>
      <c r="J121" s="537"/>
      <c r="K121" s="327" t="s">
        <v>84</v>
      </c>
    </row>
    <row r="122" spans="1:11" s="177" customFormat="1" ht="20.100000000000001" customHeight="1">
      <c r="A122" s="289" t="s">
        <v>58</v>
      </c>
      <c r="B122" s="590" t="s">
        <v>155</v>
      </c>
      <c r="C122" s="590"/>
      <c r="D122" s="590"/>
      <c r="E122" s="590"/>
      <c r="F122" s="590"/>
      <c r="G122" s="590"/>
      <c r="H122" s="590"/>
      <c r="I122" s="259">
        <f>I28</f>
        <v>2204.0500000000002</v>
      </c>
      <c r="J122" s="538"/>
      <c r="K122" s="259">
        <f>K28</f>
        <v>2509.35</v>
      </c>
    </row>
    <row r="123" spans="1:11" s="177" customFormat="1" ht="20.100000000000001" customHeight="1">
      <c r="A123" s="289" t="s">
        <v>60</v>
      </c>
      <c r="B123" s="590" t="s">
        <v>156</v>
      </c>
      <c r="C123" s="590"/>
      <c r="D123" s="590"/>
      <c r="E123" s="590"/>
      <c r="F123" s="590"/>
      <c r="G123" s="590"/>
      <c r="H123" s="590"/>
      <c r="I123" s="259">
        <f>I71</f>
        <v>2302.9200000000005</v>
      </c>
      <c r="J123" s="538"/>
      <c r="K123" s="259">
        <f>K71</f>
        <v>2517.48</v>
      </c>
    </row>
    <row r="124" spans="1:11" s="177" customFormat="1" ht="20.100000000000001" customHeight="1">
      <c r="A124" s="289" t="s">
        <v>63</v>
      </c>
      <c r="B124" s="590" t="s">
        <v>116</v>
      </c>
      <c r="C124" s="590"/>
      <c r="D124" s="590"/>
      <c r="E124" s="590"/>
      <c r="F124" s="590"/>
      <c r="G124" s="590"/>
      <c r="H124" s="590"/>
      <c r="I124" s="259">
        <f>I79</f>
        <v>155.47</v>
      </c>
      <c r="J124" s="538"/>
      <c r="K124" s="259">
        <f>K79</f>
        <v>177</v>
      </c>
    </row>
    <row r="125" spans="1:11" s="177" customFormat="1" ht="20.100000000000001" customHeight="1">
      <c r="A125" s="289" t="s">
        <v>65</v>
      </c>
      <c r="B125" s="590" t="s">
        <v>124</v>
      </c>
      <c r="C125" s="590"/>
      <c r="D125" s="590"/>
      <c r="E125" s="590"/>
      <c r="F125" s="590"/>
      <c r="G125" s="590"/>
      <c r="H125" s="590"/>
      <c r="I125" s="259">
        <f>I90</f>
        <v>66.55</v>
      </c>
      <c r="J125" s="538"/>
      <c r="K125" s="259">
        <f>K90</f>
        <v>75.78</v>
      </c>
    </row>
    <row r="126" spans="1:11" s="177" customFormat="1" ht="20.100000000000001" customHeight="1">
      <c r="A126" s="289" t="s">
        <v>49</v>
      </c>
      <c r="B126" s="590" t="s">
        <v>157</v>
      </c>
      <c r="C126" s="590"/>
      <c r="D126" s="590"/>
      <c r="E126" s="590"/>
      <c r="F126" s="590"/>
      <c r="G126" s="590"/>
      <c r="H126" s="590"/>
      <c r="I126" s="259">
        <f>I97</f>
        <v>133.19</v>
      </c>
      <c r="J126" s="538"/>
      <c r="K126" s="259">
        <f>K97</f>
        <v>133.19</v>
      </c>
    </row>
    <row r="127" spans="1:11" s="177" customFormat="1" ht="20.100000000000001" customHeight="1">
      <c r="A127" s="618" t="s">
        <v>158</v>
      </c>
      <c r="B127" s="618"/>
      <c r="C127" s="618"/>
      <c r="D127" s="618"/>
      <c r="E127" s="618"/>
      <c r="F127" s="618"/>
      <c r="G127" s="618"/>
      <c r="H127" s="618"/>
      <c r="I127" s="268">
        <f>TRUNC(SUM(I122:I126),2)</f>
        <v>4862.18</v>
      </c>
      <c r="J127" s="538"/>
      <c r="K127" s="268">
        <f>TRUNC(SUM(K122:K126),2)</f>
        <v>5412.8</v>
      </c>
    </row>
    <row r="128" spans="1:11" s="177" customFormat="1" ht="20.100000000000001" customHeight="1">
      <c r="A128" s="289" t="s">
        <v>102</v>
      </c>
      <c r="B128" s="590" t="s">
        <v>159</v>
      </c>
      <c r="C128" s="590"/>
      <c r="D128" s="590"/>
      <c r="E128" s="590"/>
      <c r="F128" s="590"/>
      <c r="G128" s="590"/>
      <c r="H128" s="590"/>
      <c r="I128" s="290">
        <f>I118</f>
        <v>460.40347016967718</v>
      </c>
      <c r="J128" s="538"/>
      <c r="K128" s="290">
        <f>K118</f>
        <v>512.54209085933212</v>
      </c>
    </row>
    <row r="129" spans="1:13" s="177" customFormat="1" ht="20.100000000000001" customHeight="1">
      <c r="A129" s="628" t="s">
        <v>358</v>
      </c>
      <c r="B129" s="628"/>
      <c r="C129" s="628"/>
      <c r="D129" s="628"/>
      <c r="E129" s="628"/>
      <c r="F129" s="628"/>
      <c r="G129" s="628"/>
      <c r="H129" s="629"/>
      <c r="I129" s="291">
        <f>+I127+I128</f>
        <v>5322.5834701696776</v>
      </c>
      <c r="J129" s="539"/>
      <c r="K129" s="292">
        <f>+K127+K128</f>
        <v>5925.3420908593325</v>
      </c>
    </row>
    <row r="130" spans="1:13" s="177" customFormat="1" ht="20.100000000000001" customHeight="1">
      <c r="A130" s="595" t="s">
        <v>412</v>
      </c>
      <c r="B130" s="596"/>
      <c r="C130" s="596"/>
      <c r="D130" s="596"/>
      <c r="E130" s="596"/>
      <c r="F130" s="596"/>
      <c r="G130" s="596"/>
      <c r="H130" s="597"/>
      <c r="I130" s="291">
        <f>ROUND(I129*2,2)</f>
        <v>10645.17</v>
      </c>
      <c r="J130" s="293"/>
      <c r="K130" s="292">
        <f>ROUND(K129*2,2)</f>
        <v>11850.68</v>
      </c>
    </row>
    <row r="131" spans="1:13" s="177" customFormat="1" ht="20.100000000000001" customHeight="1">
      <c r="A131" s="679" t="s">
        <v>439</v>
      </c>
      <c r="B131" s="679"/>
      <c r="C131" s="679"/>
      <c r="D131" s="679"/>
      <c r="E131" s="679"/>
      <c r="F131" s="679"/>
      <c r="G131" s="679"/>
      <c r="H131" s="680"/>
      <c r="I131" s="382">
        <f>I130*60</f>
        <v>638710.19999999995</v>
      </c>
      <c r="J131" s="293"/>
      <c r="K131" s="383">
        <f>K130*60</f>
        <v>711040.8</v>
      </c>
    </row>
    <row r="132" spans="1:13" s="177" customFormat="1" ht="20.100000000000001" customHeight="1">
      <c r="A132" s="628" t="s">
        <v>472</v>
      </c>
      <c r="B132" s="628"/>
      <c r="C132" s="628"/>
      <c r="D132" s="628"/>
      <c r="E132" s="628"/>
      <c r="F132" s="628"/>
      <c r="G132" s="628"/>
      <c r="H132" s="629"/>
      <c r="I132" s="291">
        <f>I131*I10</f>
        <v>638710.19999999995</v>
      </c>
      <c r="J132" s="199"/>
      <c r="K132" s="292">
        <f>K131*K10</f>
        <v>711040.8</v>
      </c>
      <c r="M132" s="472">
        <f>SUM(I132:K132)</f>
        <v>1349751</v>
      </c>
    </row>
  </sheetData>
  <mergeCells count="198">
    <mergeCell ref="B128:H128"/>
    <mergeCell ref="A129:H129"/>
    <mergeCell ref="A130:H130"/>
    <mergeCell ref="A132:H132"/>
    <mergeCell ref="A131:H131"/>
    <mergeCell ref="A120:K120"/>
    <mergeCell ref="A121:H121"/>
    <mergeCell ref="J121:J129"/>
    <mergeCell ref="B122:H122"/>
    <mergeCell ref="B123:H123"/>
    <mergeCell ref="B124:H124"/>
    <mergeCell ref="B125:H125"/>
    <mergeCell ref="B126:H126"/>
    <mergeCell ref="A127:H127"/>
    <mergeCell ref="A105:K105"/>
    <mergeCell ref="B106:G106"/>
    <mergeCell ref="J106:J110"/>
    <mergeCell ref="B107:G107"/>
    <mergeCell ref="B108:G108"/>
    <mergeCell ref="B109:F109"/>
    <mergeCell ref="G109:H109"/>
    <mergeCell ref="A110:A116"/>
    <mergeCell ref="B110:F110"/>
    <mergeCell ref="B111:K111"/>
    <mergeCell ref="B112:G112"/>
    <mergeCell ref="J112:J119"/>
    <mergeCell ref="B113:G113"/>
    <mergeCell ref="B115:G115"/>
    <mergeCell ref="B116:G116"/>
    <mergeCell ref="A117:G117"/>
    <mergeCell ref="A118:H118"/>
    <mergeCell ref="A119:H119"/>
    <mergeCell ref="G99:H99"/>
    <mergeCell ref="G100:H100"/>
    <mergeCell ref="G101:H101"/>
    <mergeCell ref="G102:H102"/>
    <mergeCell ref="G103:H103"/>
    <mergeCell ref="G104:H104"/>
    <mergeCell ref="A92:K92"/>
    <mergeCell ref="B93:H93"/>
    <mergeCell ref="J93:J104"/>
    <mergeCell ref="B94:H94"/>
    <mergeCell ref="B95:H95"/>
    <mergeCell ref="B96:H96"/>
    <mergeCell ref="A97:H97"/>
    <mergeCell ref="A98:I98"/>
    <mergeCell ref="A99:F104"/>
    <mergeCell ref="FA60:FH60"/>
    <mergeCell ref="FI60:FP60"/>
    <mergeCell ref="FQ60:FX60"/>
    <mergeCell ref="FY60:GF60"/>
    <mergeCell ref="B61:F61"/>
    <mergeCell ref="CW60:DD60"/>
    <mergeCell ref="DE60:DL60"/>
    <mergeCell ref="DM60:DT60"/>
    <mergeCell ref="DU60:EB60"/>
    <mergeCell ref="EC60:EJ60"/>
    <mergeCell ref="EK60:ER60"/>
    <mergeCell ref="BA60:BH60"/>
    <mergeCell ref="BI60:BP60"/>
    <mergeCell ref="BQ60:BX60"/>
    <mergeCell ref="BY60:CF60"/>
    <mergeCell ref="CG60:CN60"/>
    <mergeCell ref="CO60:CV60"/>
    <mergeCell ref="B60:H60"/>
    <mergeCell ref="M60:T60"/>
    <mergeCell ref="U60:AB60"/>
    <mergeCell ref="AC60:AJ60"/>
    <mergeCell ref="AK60:AR60"/>
    <mergeCell ref="AS60:AZ60"/>
    <mergeCell ref="ES60:EZ60"/>
    <mergeCell ref="B87:G87"/>
    <mergeCell ref="B88:G88"/>
    <mergeCell ref="B89:G89"/>
    <mergeCell ref="A90:H90"/>
    <mergeCell ref="A59:K59"/>
    <mergeCell ref="G80:H80"/>
    <mergeCell ref="A81:K81"/>
    <mergeCell ref="A82:K82"/>
    <mergeCell ref="B83:H83"/>
    <mergeCell ref="J83:J90"/>
    <mergeCell ref="B84:G84"/>
    <mergeCell ref="B85:G85"/>
    <mergeCell ref="A62:H62"/>
    <mergeCell ref="A63:K63"/>
    <mergeCell ref="B70:H70"/>
    <mergeCell ref="B74:G74"/>
    <mergeCell ref="B75:G75"/>
    <mergeCell ref="B76:G76"/>
    <mergeCell ref="J76:J80"/>
    <mergeCell ref="B77:G77"/>
    <mergeCell ref="B78:G78"/>
    <mergeCell ref="A79:G79"/>
    <mergeCell ref="A80:F80"/>
    <mergeCell ref="B86:G86"/>
    <mergeCell ref="A71:H71"/>
    <mergeCell ref="B55:H55"/>
    <mergeCell ref="B56:H56"/>
    <mergeCell ref="B57:H57"/>
    <mergeCell ref="B58:H58"/>
    <mergeCell ref="A64:K64"/>
    <mergeCell ref="A65:K65"/>
    <mergeCell ref="A72:K72"/>
    <mergeCell ref="B73:H73"/>
    <mergeCell ref="B66:H66"/>
    <mergeCell ref="FQ50:FX50"/>
    <mergeCell ref="FY50:GF50"/>
    <mergeCell ref="B51:E51"/>
    <mergeCell ref="B52:E52"/>
    <mergeCell ref="B53:F53"/>
    <mergeCell ref="B54:H54"/>
    <mergeCell ref="DU50:EB50"/>
    <mergeCell ref="EC50:EJ50"/>
    <mergeCell ref="EK50:ER50"/>
    <mergeCell ref="ES50:EZ50"/>
    <mergeCell ref="FA50:FH50"/>
    <mergeCell ref="FI50:FP50"/>
    <mergeCell ref="BY50:CF50"/>
    <mergeCell ref="CG50:CN50"/>
    <mergeCell ref="CO50:CV50"/>
    <mergeCell ref="CW50:DD50"/>
    <mergeCell ref="DE50:DL50"/>
    <mergeCell ref="DM50:DT50"/>
    <mergeCell ref="AC50:AJ50"/>
    <mergeCell ref="AK50:AR50"/>
    <mergeCell ref="AS50:AZ50"/>
    <mergeCell ref="BA50:BH50"/>
    <mergeCell ref="BI50:BP50"/>
    <mergeCell ref="BQ50:BX50"/>
    <mergeCell ref="B47:G47"/>
    <mergeCell ref="A48:G48"/>
    <mergeCell ref="A49:K49"/>
    <mergeCell ref="B50:H50"/>
    <mergeCell ref="M50:T50"/>
    <mergeCell ref="U50:AB50"/>
    <mergeCell ref="B39:G39"/>
    <mergeCell ref="J39:J48"/>
    <mergeCell ref="B40:G40"/>
    <mergeCell ref="B41:G41"/>
    <mergeCell ref="B43:G43"/>
    <mergeCell ref="B44:G44"/>
    <mergeCell ref="B45:G45"/>
    <mergeCell ref="B46:G46"/>
    <mergeCell ref="A34:G34"/>
    <mergeCell ref="A35:F37"/>
    <mergeCell ref="G35:H35"/>
    <mergeCell ref="G36:H36"/>
    <mergeCell ref="G37:H37"/>
    <mergeCell ref="A38:K38"/>
    <mergeCell ref="A28:H28"/>
    <mergeCell ref="A29:K29"/>
    <mergeCell ref="A30:K30"/>
    <mergeCell ref="B31:G31"/>
    <mergeCell ref="B32:G32"/>
    <mergeCell ref="B33:G33"/>
    <mergeCell ref="A20:H20"/>
    <mergeCell ref="A21:K21"/>
    <mergeCell ref="B22:G22"/>
    <mergeCell ref="J22:J28"/>
    <mergeCell ref="B23:H23"/>
    <mergeCell ref="B24:E24"/>
    <mergeCell ref="B25:G25"/>
    <mergeCell ref="A26:H26"/>
    <mergeCell ref="B27:G27"/>
    <mergeCell ref="I17:K17"/>
    <mergeCell ref="B18:H18"/>
    <mergeCell ref="I18:K18"/>
    <mergeCell ref="A19:K19"/>
    <mergeCell ref="B14:H14"/>
    <mergeCell ref="I14:K14"/>
    <mergeCell ref="B15:H15"/>
    <mergeCell ref="I15:K15"/>
    <mergeCell ref="B16:H16"/>
    <mergeCell ref="I16:K16"/>
    <mergeCell ref="A1:H2"/>
    <mergeCell ref="I1:K1"/>
    <mergeCell ref="A3:K3"/>
    <mergeCell ref="B4:H4"/>
    <mergeCell ref="I4:K4"/>
    <mergeCell ref="B5:H5"/>
    <mergeCell ref="I5:K5"/>
    <mergeCell ref="B42:C42"/>
    <mergeCell ref="A10:F10"/>
    <mergeCell ref="G10:H10"/>
    <mergeCell ref="A11:K11"/>
    <mergeCell ref="B12:H12"/>
    <mergeCell ref="I12:K12"/>
    <mergeCell ref="B13:H13"/>
    <mergeCell ref="I13:K13"/>
    <mergeCell ref="B6:H6"/>
    <mergeCell ref="I6:K6"/>
    <mergeCell ref="B7:H7"/>
    <mergeCell ref="I7:K7"/>
    <mergeCell ref="A8:K8"/>
    <mergeCell ref="A9:F9"/>
    <mergeCell ref="G9:H9"/>
    <mergeCell ref="I9:K9"/>
    <mergeCell ref="B17:H17"/>
  </mergeCells>
  <pageMargins left="0.23622047244094491" right="0.23622047244094491" top="0.74803149606299213" bottom="0.74803149606299213" header="0.31496062992125984" footer="0.31496062992125984"/>
  <pageSetup paperSize="9" scale="10" fitToHeight="0" orientation="portrait" r:id="rId1"/>
  <headerFooter>
    <oddHeader>&amp;A</oddHead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B7B01-3C4C-475C-A90C-B7F2B2DD04A2}">
  <sheetPr>
    <tabColor rgb="FF00B050"/>
    <pageSetUpPr fitToPage="1"/>
  </sheetPr>
  <dimension ref="A1:ALM130"/>
  <sheetViews>
    <sheetView showGridLines="0" topLeftCell="A34" zoomScale="115" zoomScaleNormal="115" workbookViewId="0">
      <selection activeCell="L40" sqref="L40"/>
    </sheetView>
  </sheetViews>
  <sheetFormatPr defaultColWidth="9.140625" defaultRowHeight="15" customHeight="1"/>
  <cols>
    <col min="1" max="1" width="3.28515625" style="177" bestFit="1" customWidth="1"/>
    <col min="2" max="2" width="11.42578125" style="177" customWidth="1"/>
    <col min="3" max="3" width="20.28515625" style="177" customWidth="1"/>
    <col min="4" max="4" width="8.85546875" style="177" customWidth="1"/>
    <col min="5" max="5" width="8.28515625" style="177" customWidth="1"/>
    <col min="6" max="6" width="6.7109375" style="177" customWidth="1"/>
    <col min="7" max="7" width="8.5703125" style="177" customWidth="1"/>
    <col min="8" max="8" width="8.5703125" style="180" bestFit="1" customWidth="1"/>
    <col min="9" max="9" width="14" style="178" customWidth="1"/>
    <col min="10" max="10" width="4.7109375" style="199" customWidth="1"/>
    <col min="11" max="11" width="15.7109375" style="178" customWidth="1"/>
    <col min="12" max="1001" width="11.42578125" style="177" customWidth="1"/>
    <col min="1002" max="1002" width="9.140625" style="233" customWidth="1"/>
    <col min="1003" max="16384" width="9.140625" style="233"/>
  </cols>
  <sheetData>
    <row r="1" spans="1:11" s="177" customFormat="1" ht="30.75" customHeight="1">
      <c r="A1" s="658" t="s">
        <v>56</v>
      </c>
      <c r="B1" s="659"/>
      <c r="C1" s="659"/>
      <c r="D1" s="659"/>
      <c r="E1" s="659"/>
      <c r="F1" s="659"/>
      <c r="G1" s="659"/>
      <c r="H1" s="659"/>
      <c r="I1" s="681" t="s">
        <v>384</v>
      </c>
      <c r="J1" s="682"/>
      <c r="K1" s="683"/>
    </row>
    <row r="2" spans="1:11" s="177" customFormat="1" ht="27.6" customHeight="1">
      <c r="A2" s="661"/>
      <c r="B2" s="662"/>
      <c r="C2" s="662"/>
      <c r="D2" s="662"/>
      <c r="E2" s="662"/>
      <c r="F2" s="662"/>
      <c r="G2" s="662"/>
      <c r="H2" s="663"/>
      <c r="I2" s="332" t="s">
        <v>351</v>
      </c>
      <c r="J2" s="234"/>
      <c r="K2" s="333" t="s">
        <v>352</v>
      </c>
    </row>
    <row r="3" spans="1:11" s="177" customFormat="1" ht="20.100000000000001" customHeight="1">
      <c r="A3" s="546" t="s">
        <v>57</v>
      </c>
      <c r="B3" s="546"/>
      <c r="C3" s="546"/>
      <c r="D3" s="546"/>
      <c r="E3" s="546"/>
      <c r="F3" s="546"/>
      <c r="G3" s="546"/>
      <c r="H3" s="546"/>
      <c r="I3" s="546"/>
      <c r="J3" s="546"/>
      <c r="K3" s="546"/>
    </row>
    <row r="4" spans="1:11" s="177" customFormat="1" ht="20.100000000000001" customHeight="1">
      <c r="A4" s="335" t="s">
        <v>58</v>
      </c>
      <c r="B4" s="630" t="s">
        <v>59</v>
      </c>
      <c r="C4" s="630"/>
      <c r="D4" s="630"/>
      <c r="E4" s="630"/>
      <c r="F4" s="630"/>
      <c r="G4" s="630"/>
      <c r="H4" s="684"/>
      <c r="I4" s="685"/>
      <c r="J4" s="686"/>
      <c r="K4" s="687"/>
    </row>
    <row r="5" spans="1:11" s="177" customFormat="1" ht="27" customHeight="1">
      <c r="A5" s="235" t="s">
        <v>60</v>
      </c>
      <c r="B5" s="590" t="s">
        <v>61</v>
      </c>
      <c r="C5" s="590"/>
      <c r="D5" s="590"/>
      <c r="E5" s="590"/>
      <c r="F5" s="590"/>
      <c r="G5" s="590"/>
      <c r="H5" s="590"/>
      <c r="I5" s="733" t="s">
        <v>385</v>
      </c>
      <c r="J5" s="733"/>
      <c r="K5" s="733"/>
    </row>
    <row r="6" spans="1:11" s="177" customFormat="1" ht="20.100000000000001" customHeight="1">
      <c r="A6" s="235" t="s">
        <v>63</v>
      </c>
      <c r="B6" s="590" t="s">
        <v>64</v>
      </c>
      <c r="C6" s="590"/>
      <c r="D6" s="590"/>
      <c r="E6" s="590"/>
      <c r="F6" s="590"/>
      <c r="G6" s="590"/>
      <c r="H6" s="590"/>
      <c r="I6" s="554"/>
      <c r="J6" s="554"/>
      <c r="K6" s="554"/>
    </row>
    <row r="7" spans="1:11" s="177" customFormat="1" ht="20.100000000000001" customHeight="1">
      <c r="A7" s="235" t="s">
        <v>65</v>
      </c>
      <c r="B7" s="590" t="s">
        <v>66</v>
      </c>
      <c r="C7" s="590"/>
      <c r="D7" s="590"/>
      <c r="E7" s="590"/>
      <c r="F7" s="590"/>
      <c r="G7" s="590"/>
      <c r="H7" s="590"/>
      <c r="I7" s="554" t="s">
        <v>67</v>
      </c>
      <c r="J7" s="554"/>
      <c r="K7" s="554"/>
    </row>
    <row r="8" spans="1:11" s="177" customFormat="1" ht="34.9" customHeight="1">
      <c r="A8" s="555" t="s">
        <v>68</v>
      </c>
      <c r="B8" s="555"/>
      <c r="C8" s="555"/>
      <c r="D8" s="555"/>
      <c r="E8" s="555"/>
      <c r="F8" s="555"/>
      <c r="G8" s="555"/>
      <c r="H8" s="555"/>
      <c r="I8" s="556"/>
      <c r="J8" s="556"/>
      <c r="K8" s="556"/>
    </row>
    <row r="9" spans="1:11" s="177" customFormat="1" ht="39" customHeight="1">
      <c r="A9" s="631" t="s">
        <v>69</v>
      </c>
      <c r="B9" s="631"/>
      <c r="C9" s="631"/>
      <c r="D9" s="631"/>
      <c r="E9" s="631"/>
      <c r="F9" s="631"/>
      <c r="G9" s="632" t="s">
        <v>70</v>
      </c>
      <c r="H9" s="633"/>
      <c r="I9" s="692" t="s">
        <v>71</v>
      </c>
      <c r="J9" s="693"/>
      <c r="K9" s="694"/>
    </row>
    <row r="10" spans="1:11" s="177" customFormat="1" ht="20.100000000000001" customHeight="1">
      <c r="A10" s="555" t="s">
        <v>454</v>
      </c>
      <c r="B10" s="555"/>
      <c r="C10" s="555"/>
      <c r="D10" s="555"/>
      <c r="E10" s="555"/>
      <c r="F10" s="555"/>
      <c r="G10" s="555" t="s">
        <v>52</v>
      </c>
      <c r="H10" s="555"/>
      <c r="I10" s="387">
        <v>3</v>
      </c>
      <c r="J10" s="388"/>
      <c r="K10" s="389">
        <v>5</v>
      </c>
    </row>
    <row r="11" spans="1:11" s="177" customFormat="1" ht="20.100000000000001" customHeight="1">
      <c r="A11" s="557" t="s">
        <v>72</v>
      </c>
      <c r="B11" s="557"/>
      <c r="C11" s="557"/>
      <c r="D11" s="557"/>
      <c r="E11" s="557"/>
      <c r="F11" s="557"/>
      <c r="G11" s="557"/>
      <c r="H11" s="557"/>
      <c r="I11" s="557"/>
      <c r="J11" s="557"/>
      <c r="K11" s="557"/>
    </row>
    <row r="12" spans="1:11" s="177" customFormat="1" ht="20.100000000000001" customHeight="1">
      <c r="A12" s="235">
        <v>1</v>
      </c>
      <c r="B12" s="590" t="s">
        <v>73</v>
      </c>
      <c r="C12" s="590"/>
      <c r="D12" s="590"/>
      <c r="E12" s="590"/>
      <c r="F12" s="590"/>
      <c r="G12" s="590"/>
      <c r="H12" s="590"/>
      <c r="I12" s="558" t="s">
        <v>455</v>
      </c>
      <c r="J12" s="558"/>
      <c r="K12" s="558"/>
    </row>
    <row r="13" spans="1:11" s="177" customFormat="1" ht="20.100000000000001" customHeight="1">
      <c r="A13" s="235">
        <v>2</v>
      </c>
      <c r="B13" s="590" t="s">
        <v>74</v>
      </c>
      <c r="C13" s="590"/>
      <c r="D13" s="590"/>
      <c r="E13" s="590"/>
      <c r="F13" s="590"/>
      <c r="G13" s="590"/>
      <c r="H13" s="590"/>
      <c r="I13" s="559" t="s">
        <v>353</v>
      </c>
      <c r="J13" s="559"/>
      <c r="K13" s="559"/>
    </row>
    <row r="14" spans="1:11" s="177" customFormat="1" ht="20.100000000000001" customHeight="1">
      <c r="A14" s="235">
        <v>3</v>
      </c>
      <c r="B14" s="606" t="s">
        <v>75</v>
      </c>
      <c r="C14" s="606"/>
      <c r="D14" s="606"/>
      <c r="E14" s="606"/>
      <c r="F14" s="606"/>
      <c r="G14" s="606"/>
      <c r="H14" s="606"/>
      <c r="I14" s="560">
        <v>1695.43</v>
      </c>
      <c r="J14" s="560"/>
      <c r="K14" s="560"/>
    </row>
    <row r="15" spans="1:11" s="177" customFormat="1" ht="20.100000000000001" customHeight="1">
      <c r="A15" s="235">
        <v>4</v>
      </c>
      <c r="B15" s="590" t="s">
        <v>76</v>
      </c>
      <c r="C15" s="590"/>
      <c r="D15" s="590"/>
      <c r="E15" s="590"/>
      <c r="F15" s="590"/>
      <c r="G15" s="590"/>
      <c r="H15" s="590"/>
      <c r="I15" s="561" t="s">
        <v>354</v>
      </c>
      <c r="J15" s="561"/>
      <c r="K15" s="561"/>
    </row>
    <row r="16" spans="1:11" s="177" customFormat="1" ht="20.100000000000001" customHeight="1">
      <c r="A16" s="235">
        <v>5</v>
      </c>
      <c r="B16" s="590" t="s">
        <v>77</v>
      </c>
      <c r="C16" s="590"/>
      <c r="D16" s="590"/>
      <c r="E16" s="590"/>
      <c r="F16" s="590"/>
      <c r="G16" s="590"/>
      <c r="H16" s="590"/>
      <c r="I16" s="561">
        <v>45352</v>
      </c>
      <c r="J16" s="561"/>
      <c r="K16" s="561"/>
    </row>
    <row r="17" spans="1:11" s="177" customFormat="1" ht="20.100000000000001" customHeight="1">
      <c r="A17" s="235">
        <v>6</v>
      </c>
      <c r="B17" s="668" t="s">
        <v>78</v>
      </c>
      <c r="C17" s="668"/>
      <c r="D17" s="668"/>
      <c r="E17" s="668"/>
      <c r="F17" s="668"/>
      <c r="G17" s="668"/>
      <c r="H17" s="668"/>
      <c r="I17" s="559">
        <v>1412</v>
      </c>
      <c r="J17" s="559"/>
      <c r="K17" s="559"/>
    </row>
    <row r="18" spans="1:11" s="177" customFormat="1" ht="20.100000000000001" customHeight="1">
      <c r="A18" s="434">
        <v>7</v>
      </c>
      <c r="B18" s="734" t="s">
        <v>79</v>
      </c>
      <c r="C18" s="734"/>
      <c r="D18" s="734"/>
      <c r="E18" s="734"/>
      <c r="F18" s="734"/>
      <c r="G18" s="734"/>
      <c r="H18" s="734"/>
      <c r="I18" s="670">
        <f>365/12/2</f>
        <v>15.208333333333334</v>
      </c>
      <c r="J18" s="670"/>
      <c r="K18" s="670"/>
    </row>
    <row r="19" spans="1:11" s="177" customFormat="1" ht="19.899999999999999" customHeight="1">
      <c r="A19" s="735"/>
      <c r="B19" s="736"/>
      <c r="C19" s="736"/>
      <c r="D19" s="736"/>
      <c r="E19" s="736"/>
      <c r="F19" s="736"/>
      <c r="G19" s="736"/>
      <c r="H19" s="736"/>
      <c r="I19" s="736"/>
      <c r="J19" s="736"/>
      <c r="K19" s="737"/>
    </row>
    <row r="20" spans="1:11" s="177" customFormat="1" ht="25.9" customHeight="1">
      <c r="A20" s="738" t="s">
        <v>80</v>
      </c>
      <c r="B20" s="738"/>
      <c r="C20" s="738"/>
      <c r="D20" s="738"/>
      <c r="E20" s="738"/>
      <c r="F20" s="738"/>
      <c r="G20" s="738"/>
      <c r="H20" s="738"/>
      <c r="I20" s="435" t="s">
        <v>355</v>
      </c>
      <c r="J20" s="436"/>
      <c r="K20" s="437" t="s">
        <v>356</v>
      </c>
    </row>
    <row r="21" spans="1:11" s="177" customFormat="1" ht="20.100000000000001" customHeight="1">
      <c r="A21" s="569" t="s">
        <v>81</v>
      </c>
      <c r="B21" s="570"/>
      <c r="C21" s="570"/>
      <c r="D21" s="570"/>
      <c r="E21" s="570"/>
      <c r="F21" s="570"/>
      <c r="G21" s="570"/>
      <c r="H21" s="570"/>
      <c r="I21" s="570"/>
      <c r="J21" s="570"/>
      <c r="K21" s="572"/>
    </row>
    <row r="22" spans="1:11" s="177" customFormat="1" ht="19.149999999999999" customHeight="1">
      <c r="A22" s="326">
        <v>1</v>
      </c>
      <c r="B22" s="648" t="s">
        <v>82</v>
      </c>
      <c r="C22" s="648"/>
      <c r="D22" s="648"/>
      <c r="E22" s="648"/>
      <c r="F22" s="648"/>
      <c r="G22" s="648"/>
      <c r="H22" s="327" t="s">
        <v>83</v>
      </c>
      <c r="I22" s="327" t="s">
        <v>84</v>
      </c>
      <c r="J22" s="619"/>
      <c r="K22" s="327" t="s">
        <v>84</v>
      </c>
    </row>
    <row r="23" spans="1:11" s="177" customFormat="1" ht="20.45" customHeight="1">
      <c r="A23" s="235" t="s">
        <v>58</v>
      </c>
      <c r="B23" s="585" t="s">
        <v>401</v>
      </c>
      <c r="C23" s="585"/>
      <c r="D23" s="585"/>
      <c r="E23" s="585"/>
      <c r="F23" s="585"/>
      <c r="G23" s="585"/>
      <c r="H23" s="585"/>
      <c r="I23" s="242">
        <f>I14</f>
        <v>1695.43</v>
      </c>
      <c r="J23" s="619"/>
      <c r="K23" s="242">
        <f>I14</f>
        <v>1695.43</v>
      </c>
    </row>
    <row r="24" spans="1:11" s="177" customFormat="1" ht="20.45" customHeight="1">
      <c r="A24" s="235" t="s">
        <v>60</v>
      </c>
      <c r="B24" s="577" t="s">
        <v>400</v>
      </c>
      <c r="C24" s="578"/>
      <c r="D24" s="578"/>
      <c r="E24" s="579"/>
      <c r="F24" s="235">
        <v>8</v>
      </c>
      <c r="G24" s="235">
        <v>1.93</v>
      </c>
      <c r="H24" s="325">
        <v>15.21</v>
      </c>
      <c r="I24" s="242"/>
      <c r="J24" s="619"/>
      <c r="K24" s="242">
        <f>F24*G24*H24</f>
        <v>234.8424</v>
      </c>
    </row>
    <row r="25" spans="1:11" s="177" customFormat="1" ht="20.45" customHeight="1">
      <c r="A25" s="235" t="s">
        <v>63</v>
      </c>
      <c r="B25" s="695" t="s">
        <v>86</v>
      </c>
      <c r="C25" s="695"/>
      <c r="D25" s="695"/>
      <c r="E25" s="695"/>
      <c r="F25" s="695"/>
      <c r="G25" s="695"/>
      <c r="H25" s="244"/>
      <c r="I25" s="242"/>
      <c r="J25" s="619"/>
      <c r="K25" s="242"/>
    </row>
    <row r="26" spans="1:11" s="177" customFormat="1" ht="20.45" customHeight="1">
      <c r="A26" s="611" t="s">
        <v>55</v>
      </c>
      <c r="B26" s="612"/>
      <c r="C26" s="612"/>
      <c r="D26" s="612"/>
      <c r="E26" s="612"/>
      <c r="F26" s="612"/>
      <c r="G26" s="612"/>
      <c r="H26" s="613"/>
      <c r="I26" s="242">
        <f>SUM(I23:I25)</f>
        <v>1695.43</v>
      </c>
      <c r="J26" s="619"/>
      <c r="K26" s="242">
        <f>SUM(K23:K25)</f>
        <v>1930.2724000000001</v>
      </c>
    </row>
    <row r="27" spans="1:11" s="177" customFormat="1" ht="20.45" customHeight="1">
      <c r="A27" s="235" t="s">
        <v>65</v>
      </c>
      <c r="B27" s="695" t="s">
        <v>85</v>
      </c>
      <c r="C27" s="695"/>
      <c r="D27" s="695"/>
      <c r="E27" s="695"/>
      <c r="F27" s="695"/>
      <c r="G27" s="695"/>
      <c r="H27" s="245">
        <v>0.3</v>
      </c>
      <c r="I27" s="246">
        <f>TRUNC(I26*$H$27,2)</f>
        <v>508.62</v>
      </c>
      <c r="J27" s="619"/>
      <c r="K27" s="246">
        <f>TRUNC((K26)*H27,2)</f>
        <v>579.08000000000004</v>
      </c>
    </row>
    <row r="28" spans="1:11" s="177" customFormat="1" ht="20.100000000000001" customHeight="1">
      <c r="A28" s="594" t="s">
        <v>87</v>
      </c>
      <c r="B28" s="594"/>
      <c r="C28" s="594"/>
      <c r="D28" s="594"/>
      <c r="E28" s="594"/>
      <c r="F28" s="594"/>
      <c r="G28" s="594"/>
      <c r="H28" s="594"/>
      <c r="I28" s="247">
        <f>TRUNC(SUM(I26:I27),2)</f>
        <v>2204.0500000000002</v>
      </c>
      <c r="J28" s="623"/>
      <c r="K28" s="247">
        <f>TRUNC(SUM(K26:K27),2)</f>
        <v>2509.35</v>
      </c>
    </row>
    <row r="29" spans="1:11" s="177" customFormat="1" ht="20.100000000000001" customHeight="1">
      <c r="A29" s="586" t="s">
        <v>88</v>
      </c>
      <c r="B29" s="586"/>
      <c r="C29" s="586"/>
      <c r="D29" s="586"/>
      <c r="E29" s="586"/>
      <c r="F29" s="586"/>
      <c r="G29" s="586"/>
      <c r="H29" s="586"/>
      <c r="I29" s="586"/>
      <c r="J29" s="586"/>
      <c r="K29" s="586"/>
    </row>
    <row r="30" spans="1:11" s="177" customFormat="1" ht="25.15" customHeight="1">
      <c r="A30" s="586" t="s">
        <v>89</v>
      </c>
      <c r="B30" s="586"/>
      <c r="C30" s="586"/>
      <c r="D30" s="586"/>
      <c r="E30" s="586"/>
      <c r="F30" s="586"/>
      <c r="G30" s="586"/>
      <c r="H30" s="586"/>
      <c r="I30" s="586"/>
      <c r="J30" s="699"/>
      <c r="K30" s="699"/>
    </row>
    <row r="31" spans="1:11" s="177" customFormat="1" ht="21" customHeight="1">
      <c r="A31" s="295" t="s">
        <v>90</v>
      </c>
      <c r="B31" s="700" t="s">
        <v>91</v>
      </c>
      <c r="C31" s="700"/>
      <c r="D31" s="700"/>
      <c r="E31" s="700"/>
      <c r="F31" s="700"/>
      <c r="G31" s="700"/>
      <c r="H31" s="296" t="s">
        <v>83</v>
      </c>
      <c r="I31" s="297" t="s">
        <v>84</v>
      </c>
      <c r="J31" s="359"/>
      <c r="K31" s="360" t="s">
        <v>84</v>
      </c>
    </row>
    <row r="32" spans="1:11" s="177" customFormat="1" ht="18" customHeight="1">
      <c r="A32" s="235" t="s">
        <v>58</v>
      </c>
      <c r="B32" s="585" t="s">
        <v>393</v>
      </c>
      <c r="C32" s="585"/>
      <c r="D32" s="585"/>
      <c r="E32" s="585"/>
      <c r="F32" s="585"/>
      <c r="G32" s="585"/>
      <c r="H32" s="252">
        <f>1/12</f>
        <v>8.3333333333333329E-2</v>
      </c>
      <c r="I32" s="253">
        <f>TRUNC($I$28*H32,2)</f>
        <v>183.67</v>
      </c>
      <c r="J32" s="357"/>
      <c r="K32" s="358">
        <f>TRUNC($K$28*H32,2)</f>
        <v>209.11</v>
      </c>
    </row>
    <row r="33" spans="1:11" ht="37.5" customHeight="1">
      <c r="A33" s="235" t="s">
        <v>60</v>
      </c>
      <c r="B33" s="674" t="s">
        <v>394</v>
      </c>
      <c r="C33" s="675"/>
      <c r="D33" s="675"/>
      <c r="E33" s="675"/>
      <c r="F33" s="675"/>
      <c r="G33" s="676"/>
      <c r="H33" s="255">
        <v>0.1118</v>
      </c>
      <c r="I33" s="253">
        <f>TRUNC(H33*I28,2)</f>
        <v>246.41</v>
      </c>
      <c r="J33" s="357"/>
      <c r="K33" s="358">
        <f>TRUNC(H33*K28,2)</f>
        <v>280.54000000000002</v>
      </c>
    </row>
    <row r="34" spans="1:11" ht="25.15" customHeight="1" thickBot="1">
      <c r="A34" s="677" t="s">
        <v>92</v>
      </c>
      <c r="B34" s="677"/>
      <c r="C34" s="677"/>
      <c r="D34" s="677"/>
      <c r="E34" s="677"/>
      <c r="F34" s="677"/>
      <c r="G34" s="678"/>
      <c r="H34" s="256">
        <f>SUM(H32:H33)</f>
        <v>0.19513333333333333</v>
      </c>
      <c r="I34" s="257">
        <f>SUM(I32:I33)</f>
        <v>430.08</v>
      </c>
      <c r="J34" s="357"/>
      <c r="K34" s="362">
        <f>SUM(K32:K33)</f>
        <v>489.65000000000003</v>
      </c>
    </row>
    <row r="35" spans="1:11" ht="25.15" customHeight="1" thickTop="1" thickBot="1">
      <c r="A35" s="671" t="s">
        <v>93</v>
      </c>
      <c r="B35" s="671"/>
      <c r="C35" s="671"/>
      <c r="D35" s="671"/>
      <c r="E35" s="671"/>
      <c r="F35" s="671"/>
      <c r="G35" s="583" t="s">
        <v>94</v>
      </c>
      <c r="H35" s="584"/>
      <c r="I35" s="302">
        <f>I28</f>
        <v>2204.0500000000002</v>
      </c>
      <c r="J35" s="303"/>
      <c r="K35" s="361">
        <f>K28</f>
        <v>2509.35</v>
      </c>
    </row>
    <row r="36" spans="1:11" ht="25.15" customHeight="1" thickTop="1" thickBot="1">
      <c r="A36" s="671"/>
      <c r="B36" s="671"/>
      <c r="C36" s="671"/>
      <c r="D36" s="671"/>
      <c r="E36" s="671"/>
      <c r="F36" s="671"/>
      <c r="G36" s="583" t="s">
        <v>95</v>
      </c>
      <c r="H36" s="584"/>
      <c r="I36" s="302">
        <f>I34</f>
        <v>430.08</v>
      </c>
      <c r="J36" s="303"/>
      <c r="K36" s="304">
        <f>K34</f>
        <v>489.65000000000003</v>
      </c>
    </row>
    <row r="37" spans="1:11" ht="25.15" customHeight="1" thickTop="1">
      <c r="A37" s="672"/>
      <c r="B37" s="672"/>
      <c r="C37" s="672"/>
      <c r="D37" s="672"/>
      <c r="E37" s="672"/>
      <c r="F37" s="672"/>
      <c r="G37" s="580" t="s">
        <v>92</v>
      </c>
      <c r="H37" s="582"/>
      <c r="I37" s="317">
        <f>SUM(I35:I36)</f>
        <v>2634.13</v>
      </c>
      <c r="J37" s="303"/>
      <c r="K37" s="404">
        <f>SUM(K35:K36)</f>
        <v>2999</v>
      </c>
    </row>
    <row r="38" spans="1:11" ht="19.5" customHeight="1">
      <c r="A38" s="696" t="s">
        <v>408</v>
      </c>
      <c r="B38" s="697"/>
      <c r="C38" s="697"/>
      <c r="D38" s="697"/>
      <c r="E38" s="697"/>
      <c r="F38" s="697"/>
      <c r="G38" s="697"/>
      <c r="H38" s="697"/>
      <c r="I38" s="697"/>
      <c r="J38" s="697"/>
      <c r="K38" s="698"/>
    </row>
    <row r="39" spans="1:11" ht="20.100000000000001" customHeight="1">
      <c r="A39" s="326" t="s">
        <v>96</v>
      </c>
      <c r="B39" s="610" t="s">
        <v>97</v>
      </c>
      <c r="C39" s="610"/>
      <c r="D39" s="610"/>
      <c r="E39" s="610"/>
      <c r="F39" s="610"/>
      <c r="G39" s="610"/>
      <c r="H39" s="327" t="s">
        <v>83</v>
      </c>
      <c r="I39" s="327" t="s">
        <v>84</v>
      </c>
      <c r="J39" s="619"/>
      <c r="K39" s="327" t="s">
        <v>84</v>
      </c>
    </row>
    <row r="40" spans="1:11" ht="20.100000000000001" customHeight="1">
      <c r="A40" s="235" t="s">
        <v>58</v>
      </c>
      <c r="B40" s="590" t="s">
        <v>98</v>
      </c>
      <c r="C40" s="590"/>
      <c r="D40" s="590"/>
      <c r="E40" s="590"/>
      <c r="F40" s="590"/>
      <c r="G40" s="590"/>
      <c r="H40" s="462">
        <v>0.2</v>
      </c>
      <c r="I40" s="259">
        <f>TRUNC($I$37*H40,2)</f>
        <v>526.82000000000005</v>
      </c>
      <c r="J40" s="619"/>
      <c r="K40" s="259">
        <f>TRUNC($K$37*H40,2)</f>
        <v>599.79999999999995</v>
      </c>
    </row>
    <row r="41" spans="1:11" ht="22.15" customHeight="1">
      <c r="A41" s="235" t="s">
        <v>60</v>
      </c>
      <c r="B41" s="590" t="s">
        <v>99</v>
      </c>
      <c r="C41" s="590"/>
      <c r="D41" s="590"/>
      <c r="E41" s="590"/>
      <c r="F41" s="590"/>
      <c r="G41" s="590"/>
      <c r="H41" s="463">
        <v>2.5000000000000001E-2</v>
      </c>
      <c r="I41" s="259">
        <f t="shared" ref="I41:I47" si="0">TRUNC($I$37*H41,2)</f>
        <v>65.849999999999994</v>
      </c>
      <c r="J41" s="619"/>
      <c r="K41" s="259">
        <f t="shared" ref="K41:K47" si="1">TRUNC($K$37*H41,2)</f>
        <v>74.97</v>
      </c>
    </row>
    <row r="42" spans="1:11" ht="21.75" customHeight="1">
      <c r="A42" s="235" t="s">
        <v>63</v>
      </c>
      <c r="B42" s="565" t="s">
        <v>447</v>
      </c>
      <c r="C42" s="566"/>
      <c r="D42" s="309" t="s">
        <v>445</v>
      </c>
      <c r="E42" s="440">
        <v>0</v>
      </c>
      <c r="F42" s="309" t="s">
        <v>446</v>
      </c>
      <c r="G42" s="440">
        <v>0</v>
      </c>
      <c r="H42" s="800">
        <f>E42*G42/100</f>
        <v>0</v>
      </c>
      <c r="I42" s="259">
        <f t="shared" si="0"/>
        <v>0</v>
      </c>
      <c r="J42" s="619"/>
      <c r="K42" s="259">
        <f t="shared" si="1"/>
        <v>0</v>
      </c>
    </row>
    <row r="43" spans="1:11" ht="20.100000000000001" customHeight="1">
      <c r="A43" s="235" t="s">
        <v>65</v>
      </c>
      <c r="B43" s="590" t="s">
        <v>100</v>
      </c>
      <c r="C43" s="590"/>
      <c r="D43" s="590"/>
      <c r="E43" s="590"/>
      <c r="F43" s="590"/>
      <c r="G43" s="590"/>
      <c r="H43" s="463">
        <v>1.4999999999999999E-2</v>
      </c>
      <c r="I43" s="259">
        <f t="shared" si="0"/>
        <v>39.51</v>
      </c>
      <c r="J43" s="619"/>
      <c r="K43" s="259">
        <f t="shared" si="1"/>
        <v>44.98</v>
      </c>
    </row>
    <row r="44" spans="1:11" ht="20.100000000000001" customHeight="1">
      <c r="A44" s="235" t="s">
        <v>49</v>
      </c>
      <c r="B44" s="590" t="s">
        <v>101</v>
      </c>
      <c r="C44" s="590"/>
      <c r="D44" s="590"/>
      <c r="E44" s="590"/>
      <c r="F44" s="590"/>
      <c r="G44" s="590"/>
      <c r="H44" s="463">
        <v>0.01</v>
      </c>
      <c r="I44" s="259">
        <f t="shared" si="0"/>
        <v>26.34</v>
      </c>
      <c r="J44" s="619"/>
      <c r="K44" s="259">
        <f t="shared" si="1"/>
        <v>29.99</v>
      </c>
    </row>
    <row r="45" spans="1:11" ht="20.100000000000001" customHeight="1">
      <c r="A45" s="235" t="s">
        <v>102</v>
      </c>
      <c r="B45" s="590" t="s">
        <v>103</v>
      </c>
      <c r="C45" s="590"/>
      <c r="D45" s="590"/>
      <c r="E45" s="590"/>
      <c r="F45" s="590"/>
      <c r="G45" s="590"/>
      <c r="H45" s="463">
        <v>6.0000000000000001E-3</v>
      </c>
      <c r="I45" s="259">
        <f t="shared" si="0"/>
        <v>15.8</v>
      </c>
      <c r="J45" s="619"/>
      <c r="K45" s="259">
        <f t="shared" si="1"/>
        <v>17.989999999999998</v>
      </c>
    </row>
    <row r="46" spans="1:11" ht="20.100000000000001" customHeight="1">
      <c r="A46" s="235" t="s">
        <v>104</v>
      </c>
      <c r="B46" s="590" t="s">
        <v>105</v>
      </c>
      <c r="C46" s="590"/>
      <c r="D46" s="590"/>
      <c r="E46" s="590"/>
      <c r="F46" s="590"/>
      <c r="G46" s="590"/>
      <c r="H46" s="463">
        <v>2E-3</v>
      </c>
      <c r="I46" s="259">
        <f t="shared" si="0"/>
        <v>5.26</v>
      </c>
      <c r="J46" s="619"/>
      <c r="K46" s="259">
        <f t="shared" si="1"/>
        <v>5.99</v>
      </c>
    </row>
    <row r="47" spans="1:11" ht="20.100000000000001" customHeight="1">
      <c r="A47" s="235" t="s">
        <v>106</v>
      </c>
      <c r="B47" s="590" t="s">
        <v>107</v>
      </c>
      <c r="C47" s="590"/>
      <c r="D47" s="590"/>
      <c r="E47" s="590"/>
      <c r="F47" s="590"/>
      <c r="G47" s="590"/>
      <c r="H47" s="463">
        <v>0.08</v>
      </c>
      <c r="I47" s="259">
        <f t="shared" si="0"/>
        <v>210.73</v>
      </c>
      <c r="J47" s="619"/>
      <c r="K47" s="259">
        <f t="shared" si="1"/>
        <v>239.92</v>
      </c>
    </row>
    <row r="48" spans="1:11" s="178" customFormat="1" ht="20.100000000000001" customHeight="1">
      <c r="A48" s="607" t="s">
        <v>92</v>
      </c>
      <c r="B48" s="607"/>
      <c r="C48" s="607"/>
      <c r="D48" s="607"/>
      <c r="E48" s="607"/>
      <c r="F48" s="607"/>
      <c r="G48" s="607"/>
      <c r="H48" s="465">
        <f>SUM(H40:H47)</f>
        <v>0.33800000000000002</v>
      </c>
      <c r="I48" s="319">
        <f>SUM(I40:I47)</f>
        <v>890.31000000000006</v>
      </c>
      <c r="J48" s="619"/>
      <c r="K48" s="319">
        <f>SUM(K40:K47)</f>
        <v>1013.64</v>
      </c>
    </row>
    <row r="49" spans="1:190" ht="20.100000000000001" customHeight="1">
      <c r="A49" s="569" t="s">
        <v>108</v>
      </c>
      <c r="B49" s="570"/>
      <c r="C49" s="570"/>
      <c r="D49" s="570"/>
      <c r="E49" s="570"/>
      <c r="F49" s="570"/>
      <c r="G49" s="570"/>
      <c r="H49" s="570"/>
      <c r="I49" s="570"/>
      <c r="J49" s="570"/>
      <c r="K49" s="572"/>
    </row>
    <row r="50" spans="1:190" s="176" customFormat="1" ht="22.15" customHeight="1">
      <c r="A50" s="326" t="s">
        <v>109</v>
      </c>
      <c r="B50" s="648" t="s">
        <v>110</v>
      </c>
      <c r="C50" s="648"/>
      <c r="D50" s="648"/>
      <c r="E50" s="648"/>
      <c r="F50" s="648"/>
      <c r="G50" s="648"/>
      <c r="H50" s="648"/>
      <c r="I50" s="327" t="s">
        <v>84</v>
      </c>
      <c r="J50" s="248"/>
      <c r="K50" s="327" t="s">
        <v>84</v>
      </c>
      <c r="L50" s="306"/>
      <c r="M50" s="306"/>
      <c r="N50" s="306"/>
      <c r="O50" s="621"/>
      <c r="P50" s="621"/>
      <c r="Q50" s="621"/>
      <c r="R50" s="621"/>
      <c r="S50" s="621"/>
      <c r="T50" s="621"/>
      <c r="U50" s="621"/>
      <c r="V50" s="621"/>
      <c r="W50" s="621"/>
      <c r="X50" s="621"/>
      <c r="Y50" s="621"/>
      <c r="Z50" s="621"/>
      <c r="AA50" s="621"/>
      <c r="AB50" s="621"/>
      <c r="AC50" s="621"/>
      <c r="AD50" s="621"/>
      <c r="AE50" s="621"/>
      <c r="AF50" s="621"/>
      <c r="AG50" s="621"/>
      <c r="AH50" s="621"/>
      <c r="AI50" s="621"/>
      <c r="AJ50" s="621"/>
      <c r="AK50" s="621"/>
      <c r="AL50" s="621"/>
      <c r="AM50" s="621"/>
      <c r="AN50" s="621"/>
      <c r="AO50" s="621"/>
      <c r="AP50" s="621"/>
      <c r="AQ50" s="621"/>
      <c r="AR50" s="621"/>
      <c r="AS50" s="621"/>
      <c r="AT50" s="621"/>
      <c r="AU50" s="621"/>
      <c r="AV50" s="621"/>
      <c r="AW50" s="621"/>
      <c r="AX50" s="621"/>
      <c r="AY50" s="621"/>
      <c r="AZ50" s="621"/>
      <c r="BA50" s="621"/>
      <c r="BB50" s="621"/>
      <c r="BC50" s="621"/>
      <c r="BD50" s="621"/>
      <c r="BE50" s="621"/>
      <c r="BF50" s="621"/>
      <c r="BG50" s="621"/>
      <c r="BH50" s="621"/>
      <c r="BI50" s="621"/>
      <c r="BJ50" s="621"/>
      <c r="BK50" s="621"/>
      <c r="BL50" s="621"/>
      <c r="BM50" s="621"/>
      <c r="BN50" s="621"/>
      <c r="BO50" s="621"/>
      <c r="BP50" s="621"/>
      <c r="BQ50" s="621"/>
      <c r="BR50" s="621"/>
      <c r="BS50" s="621"/>
      <c r="BT50" s="621"/>
      <c r="BU50" s="621"/>
      <c r="BV50" s="621"/>
      <c r="BW50" s="621"/>
      <c r="BX50" s="621"/>
      <c r="BY50" s="621"/>
      <c r="BZ50" s="621"/>
      <c r="CA50" s="621"/>
      <c r="CB50" s="621"/>
      <c r="CC50" s="621"/>
      <c r="CD50" s="621"/>
      <c r="CE50" s="621"/>
      <c r="CF50" s="621"/>
      <c r="CG50" s="621"/>
      <c r="CH50" s="621"/>
      <c r="CI50" s="621"/>
      <c r="CJ50" s="621"/>
      <c r="CK50" s="621"/>
      <c r="CL50" s="621"/>
      <c r="CM50" s="621"/>
      <c r="CN50" s="621"/>
      <c r="CO50" s="621"/>
      <c r="CP50" s="621"/>
      <c r="CQ50" s="621"/>
      <c r="CR50" s="621"/>
      <c r="CS50" s="621"/>
      <c r="CT50" s="621"/>
      <c r="CU50" s="621"/>
      <c r="CV50" s="621"/>
      <c r="CW50" s="621"/>
      <c r="CX50" s="621"/>
      <c r="CY50" s="621"/>
      <c r="CZ50" s="621"/>
      <c r="DA50" s="621"/>
      <c r="DB50" s="621"/>
      <c r="DC50" s="621"/>
      <c r="DD50" s="621"/>
      <c r="DE50" s="621"/>
      <c r="DF50" s="621"/>
      <c r="DG50" s="621"/>
      <c r="DH50" s="621"/>
      <c r="DI50" s="621"/>
      <c r="DJ50" s="621"/>
      <c r="DK50" s="621"/>
      <c r="DL50" s="621"/>
      <c r="DM50" s="621"/>
      <c r="DN50" s="621"/>
      <c r="DO50" s="621"/>
      <c r="DP50" s="621"/>
      <c r="DQ50" s="621"/>
      <c r="DR50" s="621"/>
      <c r="DS50" s="621"/>
      <c r="DT50" s="621"/>
      <c r="DU50" s="621"/>
      <c r="DV50" s="621"/>
      <c r="DW50" s="621"/>
      <c r="DX50" s="621"/>
      <c r="DY50" s="621"/>
      <c r="DZ50" s="621"/>
      <c r="EA50" s="621"/>
      <c r="EB50" s="621"/>
      <c r="EC50" s="621"/>
      <c r="ED50" s="621"/>
      <c r="EE50" s="621"/>
      <c r="EF50" s="621"/>
      <c r="EG50" s="621"/>
      <c r="EH50" s="621"/>
      <c r="EI50" s="621"/>
      <c r="EJ50" s="621"/>
      <c r="EK50" s="621"/>
      <c r="EL50" s="621"/>
      <c r="EM50" s="621"/>
      <c r="EN50" s="621"/>
      <c r="EO50" s="621"/>
      <c r="EP50" s="621"/>
      <c r="EQ50" s="621"/>
      <c r="ER50" s="621"/>
      <c r="ES50" s="621"/>
      <c r="ET50" s="621"/>
      <c r="EU50" s="621"/>
      <c r="EV50" s="621"/>
      <c r="EW50" s="621"/>
      <c r="EX50" s="621"/>
      <c r="EY50" s="621"/>
      <c r="EZ50" s="621"/>
      <c r="FA50" s="621"/>
      <c r="FB50" s="621"/>
      <c r="FC50" s="621"/>
      <c r="FD50" s="621"/>
      <c r="FE50" s="621"/>
      <c r="FF50" s="621"/>
      <c r="FG50" s="621"/>
      <c r="FH50" s="621"/>
      <c r="FI50" s="621"/>
      <c r="FJ50" s="621"/>
      <c r="FK50" s="621"/>
      <c r="FL50" s="621"/>
      <c r="FM50" s="621"/>
      <c r="FN50" s="621"/>
      <c r="FO50" s="621"/>
      <c r="FP50" s="621"/>
      <c r="FQ50" s="621"/>
      <c r="FR50" s="621"/>
      <c r="FS50" s="621"/>
      <c r="FT50" s="621"/>
      <c r="FU50" s="621"/>
      <c r="FV50" s="621"/>
      <c r="FW50" s="621"/>
      <c r="FX50" s="621"/>
      <c r="FY50" s="621"/>
      <c r="FZ50" s="621"/>
      <c r="GA50" s="621"/>
      <c r="GB50" s="621"/>
      <c r="GC50" s="621"/>
      <c r="GD50" s="621"/>
      <c r="GE50" s="621"/>
      <c r="GF50" s="621"/>
      <c r="GG50" s="621"/>
      <c r="GH50" s="621"/>
    </row>
    <row r="51" spans="1:190" s="177" customFormat="1" ht="28.5" customHeight="1">
      <c r="A51" s="235" t="s">
        <v>58</v>
      </c>
      <c r="B51" s="565" t="s">
        <v>410</v>
      </c>
      <c r="C51" s="576"/>
      <c r="D51" s="576"/>
      <c r="E51" s="576"/>
      <c r="F51" s="263">
        <v>15.21</v>
      </c>
      <c r="G51" s="307">
        <v>41</v>
      </c>
      <c r="H51" s="308">
        <v>0.01</v>
      </c>
      <c r="I51" s="264">
        <f>ROUND((F51*G51)-(F51*G51)*H51,2)</f>
        <v>617.37</v>
      </c>
      <c r="J51" s="278"/>
      <c r="K51" s="264">
        <f>ROUND((F51*G51)-(F51*G51)*H51,2)</f>
        <v>617.37</v>
      </c>
    </row>
    <row r="52" spans="1:190" s="177" customFormat="1" ht="22.9" customHeight="1">
      <c r="A52" s="235" t="s">
        <v>60</v>
      </c>
      <c r="B52" s="565" t="s">
        <v>409</v>
      </c>
      <c r="C52" s="576"/>
      <c r="D52" s="576"/>
      <c r="E52" s="576"/>
      <c r="F52" s="566"/>
      <c r="G52" s="294">
        <v>0.16</v>
      </c>
      <c r="H52" s="294">
        <v>0.01</v>
      </c>
      <c r="I52" s="264">
        <f>ROUND((G52*I23)-(H52*I23),2)/12</f>
        <v>21.192499999999999</v>
      </c>
      <c r="J52" s="279"/>
      <c r="K52" s="264">
        <f>ROUND((G52*K23)-(H52*K23),2)/12</f>
        <v>21.192499999999999</v>
      </c>
    </row>
    <row r="53" spans="1:190" s="177" customFormat="1" ht="21" customHeight="1">
      <c r="A53" s="235" t="s">
        <v>63</v>
      </c>
      <c r="B53" s="577" t="s">
        <v>111</v>
      </c>
      <c r="C53" s="578"/>
      <c r="D53" s="578"/>
      <c r="E53" s="578"/>
      <c r="F53" s="578"/>
      <c r="G53" s="578"/>
      <c r="H53" s="579"/>
      <c r="I53" s="264">
        <v>14.16</v>
      </c>
      <c r="J53" s="279"/>
      <c r="K53" s="264">
        <v>14.16</v>
      </c>
    </row>
    <row r="54" spans="1:190" s="177" customFormat="1" ht="20.100000000000001" customHeight="1">
      <c r="A54" s="235" t="s">
        <v>65</v>
      </c>
      <c r="B54" s="590" t="s">
        <v>112</v>
      </c>
      <c r="C54" s="590"/>
      <c r="D54" s="590"/>
      <c r="E54" s="590"/>
      <c r="F54" s="590"/>
      <c r="G54" s="590"/>
      <c r="H54" s="590"/>
      <c r="I54" s="264">
        <v>0</v>
      </c>
      <c r="J54" s="279"/>
      <c r="K54" s="264">
        <v>0</v>
      </c>
    </row>
    <row r="55" spans="1:190" s="177" customFormat="1" ht="20.100000000000001" customHeight="1">
      <c r="A55" s="235" t="s">
        <v>49</v>
      </c>
      <c r="B55" s="590" t="s">
        <v>357</v>
      </c>
      <c r="C55" s="590"/>
      <c r="D55" s="590"/>
      <c r="E55" s="590"/>
      <c r="F55" s="590"/>
      <c r="G55" s="590"/>
      <c r="H55" s="590"/>
      <c r="I55" s="264">
        <v>0</v>
      </c>
      <c r="J55" s="279"/>
      <c r="K55" s="264">
        <v>0</v>
      </c>
    </row>
    <row r="56" spans="1:190" s="179" customFormat="1" ht="20.100000000000001" customHeight="1">
      <c r="A56" s="235" t="s">
        <v>102</v>
      </c>
      <c r="B56" s="590" t="s">
        <v>86</v>
      </c>
      <c r="C56" s="590"/>
      <c r="D56" s="590"/>
      <c r="E56" s="590"/>
      <c r="F56" s="590"/>
      <c r="G56" s="590"/>
      <c r="H56" s="590"/>
      <c r="I56" s="264">
        <v>0</v>
      </c>
      <c r="J56" s="279"/>
      <c r="K56" s="264">
        <v>0</v>
      </c>
    </row>
    <row r="57" spans="1:190" s="177" customFormat="1" ht="20.100000000000001" customHeight="1">
      <c r="A57" s="267"/>
      <c r="B57" s="594" t="s">
        <v>113</v>
      </c>
      <c r="C57" s="594"/>
      <c r="D57" s="594"/>
      <c r="E57" s="594"/>
      <c r="F57" s="594"/>
      <c r="G57" s="594"/>
      <c r="H57" s="594"/>
      <c r="I57" s="261">
        <f>TRUNC(SUM(I51:I56),2)</f>
        <v>652.72</v>
      </c>
      <c r="J57" s="279"/>
      <c r="K57" s="261">
        <f>TRUNC(SUM(K51:K56),2)</f>
        <v>652.72</v>
      </c>
    </row>
    <row r="58" spans="1:190" ht="20.100000000000001" customHeight="1">
      <c r="A58" s="658" t="s">
        <v>450</v>
      </c>
      <c r="B58" s="659"/>
      <c r="C58" s="659"/>
      <c r="D58" s="659"/>
      <c r="E58" s="659"/>
      <c r="F58" s="659"/>
      <c r="G58" s="659"/>
      <c r="H58" s="659"/>
      <c r="I58" s="659"/>
      <c r="J58" s="659"/>
      <c r="K58" s="659"/>
    </row>
    <row r="59" spans="1:190" s="176" customFormat="1" ht="22.15" customHeight="1">
      <c r="A59" s="239" t="s">
        <v>448</v>
      </c>
      <c r="B59" s="666" t="s">
        <v>406</v>
      </c>
      <c r="C59" s="666"/>
      <c r="D59" s="666"/>
      <c r="E59" s="666"/>
      <c r="F59" s="666"/>
      <c r="G59" s="666"/>
      <c r="H59" s="666"/>
      <c r="I59" s="240" t="s">
        <v>84</v>
      </c>
      <c r="J59" s="262"/>
      <c r="K59" s="354" t="s">
        <v>84</v>
      </c>
      <c r="L59" s="306"/>
      <c r="M59" s="306"/>
      <c r="N59" s="306"/>
      <c r="O59" s="621"/>
      <c r="P59" s="621"/>
      <c r="Q59" s="621"/>
      <c r="R59" s="621"/>
      <c r="S59" s="621"/>
      <c r="T59" s="621"/>
      <c r="U59" s="621"/>
      <c r="V59" s="621"/>
      <c r="W59" s="621"/>
      <c r="X59" s="621"/>
      <c r="Y59" s="621"/>
      <c r="Z59" s="621"/>
      <c r="AA59" s="621"/>
      <c r="AB59" s="621"/>
      <c r="AC59" s="621"/>
      <c r="AD59" s="621"/>
      <c r="AE59" s="621"/>
      <c r="AF59" s="621"/>
      <c r="AG59" s="621"/>
      <c r="AH59" s="621"/>
      <c r="AI59" s="621"/>
      <c r="AJ59" s="621"/>
      <c r="AK59" s="621"/>
      <c r="AL59" s="621"/>
      <c r="AM59" s="621"/>
      <c r="AN59" s="621"/>
      <c r="AO59" s="621"/>
      <c r="AP59" s="621"/>
      <c r="AQ59" s="621"/>
      <c r="AR59" s="621"/>
      <c r="AS59" s="621"/>
      <c r="AT59" s="621"/>
      <c r="AU59" s="621"/>
      <c r="AV59" s="621"/>
      <c r="AW59" s="621"/>
      <c r="AX59" s="621"/>
      <c r="AY59" s="621"/>
      <c r="AZ59" s="621"/>
      <c r="BA59" s="621"/>
      <c r="BB59" s="621"/>
      <c r="BC59" s="621"/>
      <c r="BD59" s="621"/>
      <c r="BE59" s="621"/>
      <c r="BF59" s="621"/>
      <c r="BG59" s="621"/>
      <c r="BH59" s="621"/>
      <c r="BI59" s="621"/>
      <c r="BJ59" s="621"/>
      <c r="BK59" s="621"/>
      <c r="BL59" s="621"/>
      <c r="BM59" s="621"/>
      <c r="BN59" s="621"/>
      <c r="BO59" s="621"/>
      <c r="BP59" s="621"/>
      <c r="BQ59" s="621"/>
      <c r="BR59" s="621"/>
      <c r="BS59" s="621"/>
      <c r="BT59" s="621"/>
      <c r="BU59" s="621"/>
      <c r="BV59" s="621"/>
      <c r="BW59" s="621"/>
      <c r="BX59" s="621"/>
      <c r="BY59" s="621"/>
      <c r="BZ59" s="621"/>
      <c r="CA59" s="621"/>
      <c r="CB59" s="621"/>
      <c r="CC59" s="621"/>
      <c r="CD59" s="621"/>
      <c r="CE59" s="621"/>
      <c r="CF59" s="621"/>
      <c r="CG59" s="621"/>
      <c r="CH59" s="621"/>
      <c r="CI59" s="621"/>
      <c r="CJ59" s="621"/>
      <c r="CK59" s="621"/>
      <c r="CL59" s="621"/>
      <c r="CM59" s="621"/>
      <c r="CN59" s="621"/>
      <c r="CO59" s="621"/>
      <c r="CP59" s="621"/>
      <c r="CQ59" s="621"/>
      <c r="CR59" s="621"/>
      <c r="CS59" s="621"/>
      <c r="CT59" s="621"/>
      <c r="CU59" s="621"/>
      <c r="CV59" s="621"/>
      <c r="CW59" s="621"/>
      <c r="CX59" s="621"/>
      <c r="CY59" s="621"/>
      <c r="CZ59" s="621"/>
      <c r="DA59" s="621"/>
      <c r="DB59" s="621"/>
      <c r="DC59" s="621"/>
      <c r="DD59" s="621"/>
      <c r="DE59" s="621"/>
      <c r="DF59" s="621"/>
      <c r="DG59" s="621"/>
      <c r="DH59" s="621"/>
      <c r="DI59" s="621"/>
      <c r="DJ59" s="621"/>
      <c r="DK59" s="621"/>
      <c r="DL59" s="621"/>
      <c r="DM59" s="621"/>
      <c r="DN59" s="621"/>
      <c r="DO59" s="621"/>
      <c r="DP59" s="621"/>
      <c r="DQ59" s="621"/>
      <c r="DR59" s="621"/>
      <c r="DS59" s="621"/>
      <c r="DT59" s="621"/>
      <c r="DU59" s="621"/>
      <c r="DV59" s="621"/>
      <c r="DW59" s="621"/>
      <c r="DX59" s="621"/>
      <c r="DY59" s="621"/>
      <c r="DZ59" s="621"/>
      <c r="EA59" s="621"/>
      <c r="EB59" s="621"/>
      <c r="EC59" s="621"/>
      <c r="ED59" s="621"/>
      <c r="EE59" s="621"/>
      <c r="EF59" s="621"/>
      <c r="EG59" s="621"/>
      <c r="EH59" s="621"/>
      <c r="EI59" s="621"/>
      <c r="EJ59" s="621"/>
      <c r="EK59" s="621"/>
      <c r="EL59" s="621"/>
      <c r="EM59" s="621"/>
      <c r="EN59" s="621"/>
      <c r="EO59" s="621"/>
      <c r="EP59" s="621"/>
      <c r="EQ59" s="621"/>
      <c r="ER59" s="621"/>
      <c r="ES59" s="621"/>
      <c r="ET59" s="621"/>
      <c r="EU59" s="621"/>
      <c r="EV59" s="621"/>
      <c r="EW59" s="621"/>
      <c r="EX59" s="621"/>
      <c r="EY59" s="621"/>
      <c r="EZ59" s="621"/>
      <c r="FA59" s="621"/>
      <c r="FB59" s="621"/>
      <c r="FC59" s="621"/>
      <c r="FD59" s="621"/>
      <c r="FE59" s="621"/>
      <c r="FF59" s="621"/>
      <c r="FG59" s="621"/>
      <c r="FH59" s="621"/>
      <c r="FI59" s="621"/>
      <c r="FJ59" s="621"/>
      <c r="FK59" s="621"/>
      <c r="FL59" s="621"/>
      <c r="FM59" s="621"/>
      <c r="FN59" s="621"/>
      <c r="FO59" s="621"/>
      <c r="FP59" s="621"/>
      <c r="FQ59" s="621"/>
      <c r="FR59" s="621"/>
      <c r="FS59" s="621"/>
      <c r="FT59" s="621"/>
      <c r="FU59" s="621"/>
      <c r="FV59" s="621"/>
      <c r="FW59" s="621"/>
      <c r="FX59" s="621"/>
      <c r="FY59" s="621"/>
      <c r="FZ59" s="621"/>
      <c r="GA59" s="621"/>
      <c r="GB59" s="621"/>
      <c r="GC59" s="621"/>
      <c r="GD59" s="621"/>
      <c r="GE59" s="621"/>
      <c r="GF59" s="621"/>
      <c r="GG59" s="621"/>
      <c r="GH59" s="621"/>
    </row>
    <row r="60" spans="1:190" s="177" customFormat="1" ht="25.5" customHeight="1">
      <c r="A60" s="331" t="s">
        <v>58</v>
      </c>
      <c r="B60" s="642" t="s">
        <v>411</v>
      </c>
      <c r="C60" s="642"/>
      <c r="D60" s="642"/>
      <c r="E60" s="642"/>
      <c r="F60" s="642"/>
      <c r="G60" s="336">
        <v>15.21</v>
      </c>
      <c r="H60" s="336">
        <v>1.5</v>
      </c>
      <c r="I60" s="329">
        <f>ROUND((I28/220)*G60*H60,2)</f>
        <v>228.57</v>
      </c>
      <c r="J60" s="353"/>
      <c r="K60" s="356">
        <f>ROUND((K28/220)*G60*H60,2)</f>
        <v>260.23</v>
      </c>
    </row>
    <row r="61" spans="1:190" s="177" customFormat="1" ht="20.100000000000001" customHeight="1">
      <c r="A61" s="651" t="s">
        <v>92</v>
      </c>
      <c r="B61" s="652"/>
      <c r="C61" s="652"/>
      <c r="D61" s="652"/>
      <c r="E61" s="652"/>
      <c r="F61" s="652"/>
      <c r="G61" s="652"/>
      <c r="H61" s="653"/>
      <c r="I61" s="261">
        <f>SUM(I60)</f>
        <v>228.57</v>
      </c>
      <c r="J61" s="248"/>
      <c r="K61" s="355">
        <f>SUM(K60)</f>
        <v>260.23</v>
      </c>
    </row>
    <row r="62" spans="1:190" s="177" customFormat="1" ht="20.100000000000001" customHeight="1">
      <c r="A62" s="720" t="s">
        <v>458</v>
      </c>
      <c r="B62" s="720"/>
      <c r="C62" s="720"/>
      <c r="D62" s="720"/>
      <c r="E62" s="720"/>
      <c r="F62" s="720"/>
      <c r="G62" s="720"/>
      <c r="H62" s="720"/>
      <c r="I62" s="720"/>
      <c r="J62" s="720"/>
      <c r="K62" s="720"/>
    </row>
    <row r="63" spans="1:190" s="177" customFormat="1" ht="20.100000000000001" customHeight="1">
      <c r="A63" s="569" t="s">
        <v>114</v>
      </c>
      <c r="B63" s="570"/>
      <c r="C63" s="570"/>
      <c r="D63" s="570"/>
      <c r="E63" s="570"/>
      <c r="F63" s="570"/>
      <c r="G63" s="570"/>
      <c r="H63" s="570"/>
      <c r="I63" s="570"/>
      <c r="J63" s="570"/>
      <c r="K63" s="572"/>
    </row>
    <row r="64" spans="1:190" s="177" customFormat="1" ht="20.100000000000001" customHeight="1">
      <c r="A64" s="327">
        <v>2</v>
      </c>
      <c r="B64" s="707" t="s">
        <v>115</v>
      </c>
      <c r="C64" s="708"/>
      <c r="D64" s="708"/>
      <c r="E64" s="708"/>
      <c r="F64" s="708"/>
      <c r="G64" s="708"/>
      <c r="H64" s="709"/>
      <c r="I64" s="327" t="s">
        <v>84</v>
      </c>
      <c r="J64" s="311"/>
      <c r="K64" s="327" t="s">
        <v>84</v>
      </c>
    </row>
    <row r="65" spans="1:11" s="177" customFormat="1" ht="20.100000000000001" customHeight="1">
      <c r="A65" s="316" t="s">
        <v>90</v>
      </c>
      <c r="B65" s="313" t="s">
        <v>91</v>
      </c>
      <c r="C65" s="314"/>
      <c r="D65" s="314"/>
      <c r="E65" s="314"/>
      <c r="F65" s="314"/>
      <c r="G65" s="314"/>
      <c r="H65" s="315"/>
      <c r="I65" s="268">
        <f>I34</f>
        <v>430.08</v>
      </c>
      <c r="J65" s="311"/>
      <c r="K65" s="268">
        <f>K34</f>
        <v>489.65000000000003</v>
      </c>
    </row>
    <row r="66" spans="1:11" s="177" customFormat="1" ht="20.100000000000001" customHeight="1">
      <c r="A66" s="316" t="s">
        <v>96</v>
      </c>
      <c r="B66" s="313" t="s">
        <v>97</v>
      </c>
      <c r="C66" s="314"/>
      <c r="D66" s="314"/>
      <c r="E66" s="314"/>
      <c r="F66" s="314"/>
      <c r="G66" s="314"/>
      <c r="H66" s="315"/>
      <c r="I66" s="268">
        <f>I48</f>
        <v>890.31000000000006</v>
      </c>
      <c r="J66" s="311"/>
      <c r="K66" s="268">
        <f>K48</f>
        <v>1013.64</v>
      </c>
    </row>
    <row r="67" spans="1:11" s="177" customFormat="1" ht="20.100000000000001" customHeight="1">
      <c r="A67" s="316" t="s">
        <v>109</v>
      </c>
      <c r="B67" s="313" t="s">
        <v>110</v>
      </c>
      <c r="C67" s="314"/>
      <c r="D67" s="314"/>
      <c r="E67" s="314"/>
      <c r="F67" s="314"/>
      <c r="G67" s="314"/>
      <c r="H67" s="315"/>
      <c r="I67" s="268">
        <f>I57</f>
        <v>652.72</v>
      </c>
      <c r="J67" s="311"/>
      <c r="K67" s="268">
        <f>K57</f>
        <v>652.72</v>
      </c>
    </row>
    <row r="68" spans="1:11" s="177" customFormat="1" ht="20.100000000000001" customHeight="1">
      <c r="A68" s="240" t="s">
        <v>448</v>
      </c>
      <c r="B68" s="655" t="s">
        <v>449</v>
      </c>
      <c r="C68" s="656"/>
      <c r="D68" s="656"/>
      <c r="E68" s="656"/>
      <c r="F68" s="656"/>
      <c r="G68" s="656"/>
      <c r="H68" s="657"/>
      <c r="I68" s="268">
        <f>I61</f>
        <v>228.57</v>
      </c>
      <c r="J68" s="270"/>
      <c r="K68" s="268">
        <f>K61</f>
        <v>260.23</v>
      </c>
    </row>
    <row r="69" spans="1:11" s="177" customFormat="1" ht="21" customHeight="1">
      <c r="A69" s="701" t="s">
        <v>92</v>
      </c>
      <c r="B69" s="702"/>
      <c r="C69" s="702"/>
      <c r="D69" s="702"/>
      <c r="E69" s="702"/>
      <c r="F69" s="702"/>
      <c r="G69" s="702"/>
      <c r="H69" s="703"/>
      <c r="I69" s="319">
        <f>SUM(I65:I68)</f>
        <v>2201.6800000000003</v>
      </c>
      <c r="J69" s="311"/>
      <c r="K69" s="319">
        <f>SUM(K65:K68)</f>
        <v>2416.2400000000002</v>
      </c>
    </row>
    <row r="70" spans="1:11" s="177" customFormat="1" ht="20.100000000000001" customHeight="1">
      <c r="A70" s="704" t="s">
        <v>116</v>
      </c>
      <c r="B70" s="705"/>
      <c r="C70" s="705"/>
      <c r="D70" s="705"/>
      <c r="E70" s="705"/>
      <c r="F70" s="705"/>
      <c r="G70" s="705"/>
      <c r="H70" s="705"/>
      <c r="I70" s="705"/>
      <c r="J70" s="705"/>
      <c r="K70" s="706"/>
    </row>
    <row r="71" spans="1:11" s="177" customFormat="1" ht="20.100000000000001" customHeight="1">
      <c r="A71" s="295">
        <v>3</v>
      </c>
      <c r="B71" s="605" t="s">
        <v>117</v>
      </c>
      <c r="C71" s="605"/>
      <c r="D71" s="605"/>
      <c r="E71" s="605"/>
      <c r="F71" s="605"/>
      <c r="G71" s="605"/>
      <c r="H71" s="605"/>
      <c r="I71" s="327" t="s">
        <v>84</v>
      </c>
      <c r="J71" s="357"/>
      <c r="K71" s="420" t="s">
        <v>84</v>
      </c>
    </row>
    <row r="72" spans="1:11" s="177" customFormat="1" ht="20.100000000000001" customHeight="1">
      <c r="A72" s="235" t="s">
        <v>58</v>
      </c>
      <c r="B72" s="590" t="s">
        <v>118</v>
      </c>
      <c r="C72" s="590"/>
      <c r="D72" s="590"/>
      <c r="E72" s="590"/>
      <c r="F72" s="590"/>
      <c r="G72" s="590"/>
      <c r="H72" s="476">
        <v>4.1999999999999997E-3</v>
      </c>
      <c r="I72" s="259">
        <f>TRUNC($I$28*H72,2)</f>
        <v>9.25</v>
      </c>
      <c r="J72" s="357"/>
      <c r="K72" s="421">
        <f>TRUNC($K$28*H72,2)</f>
        <v>10.53</v>
      </c>
    </row>
    <row r="73" spans="1:11" s="177" customFormat="1" ht="21.6" customHeight="1">
      <c r="A73" s="235" t="s">
        <v>60</v>
      </c>
      <c r="B73" s="590" t="s">
        <v>119</v>
      </c>
      <c r="C73" s="590"/>
      <c r="D73" s="590"/>
      <c r="E73" s="590"/>
      <c r="F73" s="590"/>
      <c r="G73" s="590"/>
      <c r="H73" s="459">
        <f>H47*H72</f>
        <v>3.3599999999999998E-4</v>
      </c>
      <c r="I73" s="259">
        <f>TRUNC(I28*H73,2)</f>
        <v>0.74</v>
      </c>
      <c r="J73" s="357"/>
      <c r="K73" s="421">
        <f>TRUNC(K28*H73,2)</f>
        <v>0.84</v>
      </c>
    </row>
    <row r="74" spans="1:11" s="177" customFormat="1" ht="26.25" customHeight="1">
      <c r="A74" s="235" t="s">
        <v>63</v>
      </c>
      <c r="B74" s="585" t="s">
        <v>120</v>
      </c>
      <c r="C74" s="585"/>
      <c r="D74" s="585"/>
      <c r="E74" s="585"/>
      <c r="F74" s="585"/>
      <c r="G74" s="585"/>
      <c r="H74" s="255">
        <v>1.9439999999999999E-2</v>
      </c>
      <c r="I74" s="253">
        <f>TRUNC(($I$28*H74),2)</f>
        <v>42.84</v>
      </c>
      <c r="J74" s="588"/>
      <c r="K74" s="421">
        <f>TRUNC(($K$28*H74),2)</f>
        <v>48.78</v>
      </c>
    </row>
    <row r="75" spans="1:11" s="177" customFormat="1" ht="26.25" customHeight="1">
      <c r="A75" s="235" t="s">
        <v>65</v>
      </c>
      <c r="B75" s="585" t="s">
        <v>121</v>
      </c>
      <c r="C75" s="585"/>
      <c r="D75" s="585"/>
      <c r="E75" s="585"/>
      <c r="F75" s="585"/>
      <c r="G75" s="585"/>
      <c r="H75" s="459">
        <f>H48*H74</f>
        <v>6.5707200000000004E-3</v>
      </c>
      <c r="I75" s="253">
        <f>TRUNC(I28*H75,2)</f>
        <v>14.48</v>
      </c>
      <c r="J75" s="588"/>
      <c r="K75" s="421">
        <f>TRUNC(K28*H75,2)</f>
        <v>16.48</v>
      </c>
    </row>
    <row r="76" spans="1:11" s="177" customFormat="1" ht="28.15" customHeight="1">
      <c r="A76" s="235" t="s">
        <v>49</v>
      </c>
      <c r="B76" s="585" t="s">
        <v>122</v>
      </c>
      <c r="C76" s="585"/>
      <c r="D76" s="585"/>
      <c r="E76" s="585"/>
      <c r="F76" s="585"/>
      <c r="G76" s="585"/>
      <c r="H76" s="255">
        <v>0.04</v>
      </c>
      <c r="I76" s="253">
        <f>TRUNC(($I$28*H76),2)</f>
        <v>88.16</v>
      </c>
      <c r="J76" s="588"/>
      <c r="K76" s="421">
        <f>TRUNC(($K$28*H76),2)</f>
        <v>100.37</v>
      </c>
    </row>
    <row r="77" spans="1:11" s="177" customFormat="1" ht="20.25" customHeight="1" thickBot="1">
      <c r="A77" s="594" t="s">
        <v>92</v>
      </c>
      <c r="B77" s="594"/>
      <c r="C77" s="594"/>
      <c r="D77" s="594"/>
      <c r="E77" s="594"/>
      <c r="F77" s="594"/>
      <c r="G77" s="594"/>
      <c r="H77" s="260">
        <f>SUM(H72:H76)</f>
        <v>7.0546720000000007E-2</v>
      </c>
      <c r="I77" s="271">
        <f>SUM(I72:I76)</f>
        <v>155.47</v>
      </c>
      <c r="J77" s="588"/>
      <c r="K77" s="426">
        <f>SUM(K72:K76)</f>
        <v>177</v>
      </c>
    </row>
    <row r="78" spans="1:11" s="177" customFormat="1" ht="20.25" customHeight="1" thickTop="1" thickBot="1">
      <c r="A78" s="580" t="s">
        <v>451</v>
      </c>
      <c r="B78" s="581"/>
      <c r="C78" s="581"/>
      <c r="D78" s="581"/>
      <c r="E78" s="581"/>
      <c r="F78" s="582"/>
      <c r="G78" s="583" t="s">
        <v>94</v>
      </c>
      <c r="H78" s="584"/>
      <c r="I78" s="302">
        <f>I28</f>
        <v>2204.0500000000002</v>
      </c>
      <c r="J78" s="588"/>
      <c r="K78" s="425">
        <f>K28</f>
        <v>2509.35</v>
      </c>
    </row>
    <row r="79" spans="1:11" s="177" customFormat="1" ht="20.100000000000001" customHeight="1" thickTop="1">
      <c r="A79" s="710" t="s">
        <v>124</v>
      </c>
      <c r="B79" s="711"/>
      <c r="C79" s="711"/>
      <c r="D79" s="711"/>
      <c r="E79" s="711"/>
      <c r="F79" s="711"/>
      <c r="G79" s="711"/>
      <c r="H79" s="711"/>
      <c r="I79" s="711"/>
      <c r="J79" s="711"/>
      <c r="K79" s="712"/>
    </row>
    <row r="80" spans="1:11" ht="20.100000000000001" customHeight="1">
      <c r="A80" s="713" t="s">
        <v>405</v>
      </c>
      <c r="B80" s="714"/>
      <c r="C80" s="714"/>
      <c r="D80" s="714"/>
      <c r="E80" s="714"/>
      <c r="F80" s="714"/>
      <c r="G80" s="714"/>
      <c r="H80" s="714"/>
      <c r="I80" s="714"/>
      <c r="J80" s="714"/>
      <c r="K80" s="715"/>
    </row>
    <row r="81" spans="1:12" s="177" customFormat="1" ht="20.100000000000001" customHeight="1">
      <c r="A81" s="295" t="s">
        <v>125</v>
      </c>
      <c r="B81" s="716" t="s">
        <v>126</v>
      </c>
      <c r="C81" s="716"/>
      <c r="D81" s="716"/>
      <c r="E81" s="716"/>
      <c r="F81" s="716"/>
      <c r="G81" s="716"/>
      <c r="H81" s="716"/>
      <c r="I81" s="327" t="s">
        <v>84</v>
      </c>
      <c r="J81" s="619"/>
      <c r="K81" s="327" t="s">
        <v>84</v>
      </c>
    </row>
    <row r="82" spans="1:12" s="177" customFormat="1" ht="25.15" customHeight="1">
      <c r="A82" s="235" t="s">
        <v>58</v>
      </c>
      <c r="B82" s="585" t="s">
        <v>395</v>
      </c>
      <c r="C82" s="585"/>
      <c r="D82" s="585"/>
      <c r="E82" s="585"/>
      <c r="F82" s="585"/>
      <c r="G82" s="585"/>
      <c r="H82" s="255">
        <f>((1+1/3)/12)/12</f>
        <v>9.2592592592592587E-3</v>
      </c>
      <c r="I82" s="259">
        <f>TRUNC($I$78*H82,2)</f>
        <v>20.399999999999999</v>
      </c>
      <c r="J82" s="619"/>
      <c r="K82" s="259">
        <f>TRUNC($K$78*H82,2)</f>
        <v>23.23</v>
      </c>
    </row>
    <row r="83" spans="1:12" s="177" customFormat="1" ht="20.100000000000001" customHeight="1">
      <c r="A83" s="235" t="s">
        <v>60</v>
      </c>
      <c r="B83" s="590" t="s">
        <v>127</v>
      </c>
      <c r="C83" s="590"/>
      <c r="D83" s="590"/>
      <c r="E83" s="590"/>
      <c r="F83" s="590"/>
      <c r="G83" s="590"/>
      <c r="H83" s="461">
        <f>(1/30)/12</f>
        <v>2.7777777777777779E-3</v>
      </c>
      <c r="I83" s="259">
        <f t="shared" ref="I83:I87" si="2">TRUNC($I$78*H83,2)</f>
        <v>6.12</v>
      </c>
      <c r="J83" s="619"/>
      <c r="K83" s="259">
        <f t="shared" ref="K83:K87" si="3">TRUNC($K$78*H83,2)</f>
        <v>6.97</v>
      </c>
      <c r="L83" s="438" t="s">
        <v>440</v>
      </c>
    </row>
    <row r="84" spans="1:12" s="177" customFormat="1" ht="20.100000000000001" customHeight="1">
      <c r="A84" s="235" t="s">
        <v>63</v>
      </c>
      <c r="B84" s="590" t="s">
        <v>404</v>
      </c>
      <c r="C84" s="590"/>
      <c r="D84" s="590"/>
      <c r="E84" s="590"/>
      <c r="F84" s="590"/>
      <c r="G84" s="590"/>
      <c r="H84" s="461">
        <f>0.1111*0.02*0.333</f>
        <v>7.3992600000000002E-4</v>
      </c>
      <c r="I84" s="259">
        <f t="shared" si="2"/>
        <v>1.63</v>
      </c>
      <c r="J84" s="619"/>
      <c r="K84" s="259">
        <f t="shared" si="3"/>
        <v>1.85</v>
      </c>
      <c r="L84" s="438" t="s">
        <v>443</v>
      </c>
    </row>
    <row r="85" spans="1:12" s="177" customFormat="1" ht="20.100000000000001" customHeight="1">
      <c r="A85" s="235" t="s">
        <v>65</v>
      </c>
      <c r="B85" s="577" t="s">
        <v>403</v>
      </c>
      <c r="C85" s="578"/>
      <c r="D85" s="578"/>
      <c r="E85" s="578"/>
      <c r="F85" s="578"/>
      <c r="G85" s="579"/>
      <c r="H85" s="461">
        <f>5/30/12*0.015</f>
        <v>2.0833333333333332E-4</v>
      </c>
      <c r="I85" s="259">
        <f t="shared" si="2"/>
        <v>0.45</v>
      </c>
      <c r="J85" s="619"/>
      <c r="K85" s="259">
        <f t="shared" si="3"/>
        <v>0.52</v>
      </c>
      <c r="L85" s="438" t="s">
        <v>441</v>
      </c>
    </row>
    <row r="86" spans="1:12" s="177" customFormat="1" ht="20.100000000000001" customHeight="1">
      <c r="A86" s="235" t="s">
        <v>49</v>
      </c>
      <c r="B86" s="590" t="s">
        <v>128</v>
      </c>
      <c r="C86" s="590"/>
      <c r="D86" s="590"/>
      <c r="E86" s="590"/>
      <c r="F86" s="590"/>
      <c r="G86" s="590"/>
      <c r="H86" s="461">
        <f>15/30/12*0.08</f>
        <v>3.3333333333333331E-3</v>
      </c>
      <c r="I86" s="259">
        <f t="shared" si="2"/>
        <v>7.34</v>
      </c>
      <c r="J86" s="619"/>
      <c r="K86" s="259">
        <f t="shared" si="3"/>
        <v>8.36</v>
      </c>
      <c r="L86" s="438" t="s">
        <v>442</v>
      </c>
    </row>
    <row r="87" spans="1:12" s="177" customFormat="1" ht="20.100000000000001" customHeight="1">
      <c r="A87" s="235" t="s">
        <v>102</v>
      </c>
      <c r="B87" s="590" t="s">
        <v>129</v>
      </c>
      <c r="C87" s="590"/>
      <c r="D87" s="590"/>
      <c r="E87" s="590"/>
      <c r="F87" s="590"/>
      <c r="G87" s="590"/>
      <c r="H87" s="461">
        <f>5/30/12</f>
        <v>1.3888888888888888E-2</v>
      </c>
      <c r="I87" s="259">
        <f t="shared" si="2"/>
        <v>30.61</v>
      </c>
      <c r="J87" s="619"/>
      <c r="K87" s="259">
        <f t="shared" si="3"/>
        <v>34.85</v>
      </c>
      <c r="L87" s="438" t="s">
        <v>444</v>
      </c>
    </row>
    <row r="88" spans="1:12" s="177" customFormat="1" ht="20.100000000000001" customHeight="1">
      <c r="A88" s="651" t="s">
        <v>92</v>
      </c>
      <c r="B88" s="664"/>
      <c r="C88" s="664"/>
      <c r="D88" s="664"/>
      <c r="E88" s="664"/>
      <c r="F88" s="664"/>
      <c r="G88" s="664"/>
      <c r="H88" s="665"/>
      <c r="I88" s="261">
        <f>SUM(I82:I87)</f>
        <v>66.55</v>
      </c>
      <c r="J88" s="623"/>
      <c r="K88" s="261">
        <f>SUM(K82:K87)</f>
        <v>75.78</v>
      </c>
    </row>
    <row r="90" spans="1:12" s="177" customFormat="1" ht="18" customHeight="1">
      <c r="A90" s="569" t="s">
        <v>130</v>
      </c>
      <c r="B90" s="570"/>
      <c r="C90" s="570"/>
      <c r="D90" s="570"/>
      <c r="E90" s="570"/>
      <c r="F90" s="570"/>
      <c r="G90" s="570"/>
      <c r="H90" s="570"/>
      <c r="I90" s="570"/>
      <c r="J90" s="570"/>
      <c r="K90" s="572"/>
    </row>
    <row r="91" spans="1:12" s="177" customFormat="1" ht="20.100000000000001" customHeight="1">
      <c r="A91" s="326">
        <v>5</v>
      </c>
      <c r="B91" s="648" t="s">
        <v>131</v>
      </c>
      <c r="C91" s="648"/>
      <c r="D91" s="648"/>
      <c r="E91" s="648"/>
      <c r="F91" s="648"/>
      <c r="G91" s="648"/>
      <c r="H91" s="648"/>
      <c r="I91" s="327" t="s">
        <v>84</v>
      </c>
      <c r="J91" s="537"/>
      <c r="K91" s="327" t="s">
        <v>84</v>
      </c>
    </row>
    <row r="92" spans="1:12" s="177" customFormat="1" ht="20.100000000000001" customHeight="1">
      <c r="A92" s="235" t="s">
        <v>58</v>
      </c>
      <c r="B92" s="590" t="s">
        <v>132</v>
      </c>
      <c r="C92" s="590"/>
      <c r="D92" s="590"/>
      <c r="E92" s="590"/>
      <c r="F92" s="590"/>
      <c r="G92" s="590"/>
      <c r="H92" s="590"/>
      <c r="I92" s="264">
        <f>'Uniforme '!F12</f>
        <v>80.819333333333333</v>
      </c>
      <c r="J92" s="538"/>
      <c r="K92" s="264">
        <f>'Uniforme '!F12</f>
        <v>80.819333333333333</v>
      </c>
    </row>
    <row r="93" spans="1:12" s="177" customFormat="1" ht="20.100000000000001" customHeight="1">
      <c r="A93" s="235" t="s">
        <v>60</v>
      </c>
      <c r="B93" s="577" t="s">
        <v>417</v>
      </c>
      <c r="C93" s="578"/>
      <c r="D93" s="578"/>
      <c r="E93" s="578"/>
      <c r="F93" s="578"/>
      <c r="G93" s="578"/>
      <c r="H93" s="579"/>
      <c r="I93" s="264">
        <f>'EPIs e materiais'!G16</f>
        <v>52.38048055555555</v>
      </c>
      <c r="J93" s="538"/>
      <c r="K93" s="264">
        <f>'EPIs e materiais'!G16</f>
        <v>52.38048055555555</v>
      </c>
    </row>
    <row r="94" spans="1:12" s="177" customFormat="1" ht="20.100000000000001" customHeight="1">
      <c r="A94" s="235" t="s">
        <v>63</v>
      </c>
      <c r="B94" s="577" t="s">
        <v>133</v>
      </c>
      <c r="C94" s="578"/>
      <c r="D94" s="578"/>
      <c r="E94" s="578"/>
      <c r="F94" s="578"/>
      <c r="G94" s="578"/>
      <c r="H94" s="579"/>
      <c r="I94" s="264"/>
      <c r="J94" s="538"/>
      <c r="K94" s="264"/>
    </row>
    <row r="95" spans="1:12" s="177" customFormat="1" ht="20.100000000000001" customHeight="1">
      <c r="A95" s="594" t="s">
        <v>134</v>
      </c>
      <c r="B95" s="594"/>
      <c r="C95" s="594"/>
      <c r="D95" s="594"/>
      <c r="E95" s="594"/>
      <c r="F95" s="594"/>
      <c r="G95" s="594"/>
      <c r="H95" s="594"/>
      <c r="I95" s="261">
        <f>TRUNC(SUM(I92:I93),2)</f>
        <v>133.19</v>
      </c>
      <c r="J95" s="538"/>
      <c r="K95" s="261">
        <f>TRUNC(SUM(K92:K93),2)</f>
        <v>133.19</v>
      </c>
    </row>
    <row r="96" spans="1:12" s="177" customFormat="1" ht="20.100000000000001" customHeight="1" thickBot="1">
      <c r="A96" s="598" t="s">
        <v>135</v>
      </c>
      <c r="B96" s="598"/>
      <c r="C96" s="598"/>
      <c r="D96" s="598"/>
      <c r="E96" s="598"/>
      <c r="F96" s="598"/>
      <c r="G96" s="598"/>
      <c r="H96" s="598"/>
      <c r="I96" s="598"/>
      <c r="J96" s="538"/>
      <c r="K96" s="272"/>
    </row>
    <row r="97" spans="1:11" s="177" customFormat="1" ht="20.100000000000001" customHeight="1" thickTop="1" thickBot="1">
      <c r="A97" s="580" t="s">
        <v>136</v>
      </c>
      <c r="B97" s="581"/>
      <c r="C97" s="581"/>
      <c r="D97" s="581"/>
      <c r="E97" s="581"/>
      <c r="F97" s="582"/>
      <c r="G97" s="583" t="s">
        <v>94</v>
      </c>
      <c r="H97" s="584"/>
      <c r="I97" s="273">
        <f>I28</f>
        <v>2204.0500000000002</v>
      </c>
      <c r="J97" s="538"/>
      <c r="K97" s="274">
        <f>K28</f>
        <v>2509.35</v>
      </c>
    </row>
    <row r="98" spans="1:11" s="177" customFormat="1" ht="20.100000000000001" customHeight="1" thickTop="1" thickBot="1">
      <c r="A98" s="599"/>
      <c r="B98" s="600"/>
      <c r="C98" s="600"/>
      <c r="D98" s="600"/>
      <c r="E98" s="600"/>
      <c r="F98" s="601"/>
      <c r="G98" s="583" t="s">
        <v>137</v>
      </c>
      <c r="H98" s="584"/>
      <c r="I98" s="273">
        <f>I69</f>
        <v>2201.6800000000003</v>
      </c>
      <c r="J98" s="538"/>
      <c r="K98" s="274">
        <f>K69</f>
        <v>2416.2400000000002</v>
      </c>
    </row>
    <row r="99" spans="1:11" s="177" customFormat="1" ht="20.100000000000001" customHeight="1" thickTop="1" thickBot="1">
      <c r="A99" s="599"/>
      <c r="B99" s="600"/>
      <c r="C99" s="600"/>
      <c r="D99" s="600"/>
      <c r="E99" s="600"/>
      <c r="F99" s="601"/>
      <c r="G99" s="583" t="s">
        <v>138</v>
      </c>
      <c r="H99" s="584"/>
      <c r="I99" s="273">
        <f>I77</f>
        <v>155.47</v>
      </c>
      <c r="J99" s="538"/>
      <c r="K99" s="274">
        <f>K77</f>
        <v>177</v>
      </c>
    </row>
    <row r="100" spans="1:11" s="177" customFormat="1" ht="20.100000000000001" customHeight="1" thickTop="1" thickBot="1">
      <c r="A100" s="599"/>
      <c r="B100" s="600"/>
      <c r="C100" s="600"/>
      <c r="D100" s="600"/>
      <c r="E100" s="600"/>
      <c r="F100" s="601"/>
      <c r="G100" s="583" t="s">
        <v>139</v>
      </c>
      <c r="H100" s="584"/>
      <c r="I100" s="273">
        <f>I88</f>
        <v>66.55</v>
      </c>
      <c r="J100" s="538"/>
      <c r="K100" s="274">
        <f>K88</f>
        <v>75.78</v>
      </c>
    </row>
    <row r="101" spans="1:11" s="177" customFormat="1" ht="20.100000000000001" customHeight="1" thickTop="1" thickBot="1">
      <c r="A101" s="599"/>
      <c r="B101" s="600"/>
      <c r="C101" s="600"/>
      <c r="D101" s="600"/>
      <c r="E101" s="600"/>
      <c r="F101" s="601"/>
      <c r="G101" s="583" t="s">
        <v>140</v>
      </c>
      <c r="H101" s="584"/>
      <c r="I101" s="273">
        <f>I95</f>
        <v>133.19</v>
      </c>
      <c r="J101" s="538"/>
      <c r="K101" s="274">
        <f>K95</f>
        <v>133.19</v>
      </c>
    </row>
    <row r="102" spans="1:11" s="177" customFormat="1" ht="20.100000000000001" customHeight="1" thickTop="1">
      <c r="A102" s="599"/>
      <c r="B102" s="722"/>
      <c r="C102" s="722"/>
      <c r="D102" s="722"/>
      <c r="E102" s="722"/>
      <c r="F102" s="601"/>
      <c r="G102" s="580" t="s">
        <v>123</v>
      </c>
      <c r="H102" s="582"/>
      <c r="I102" s="428">
        <f>SUM(I97:I101)</f>
        <v>4760.9400000000005</v>
      </c>
      <c r="J102" s="537"/>
      <c r="K102" s="429">
        <f>SUM(K97:K101)</f>
        <v>5311.5599999999995</v>
      </c>
    </row>
    <row r="103" spans="1:11" s="177" customFormat="1" ht="20.100000000000001" customHeight="1">
      <c r="A103" s="723" t="s">
        <v>141</v>
      </c>
      <c r="B103" s="724"/>
      <c r="C103" s="724"/>
      <c r="D103" s="724"/>
      <c r="E103" s="724"/>
      <c r="F103" s="724"/>
      <c r="G103" s="724"/>
      <c r="H103" s="724"/>
      <c r="I103" s="724"/>
      <c r="J103" s="724"/>
      <c r="K103" s="725"/>
    </row>
    <row r="104" spans="1:11" s="177" customFormat="1" ht="25.15" customHeight="1">
      <c r="A104" s="295">
        <v>6</v>
      </c>
      <c r="B104" s="716" t="s">
        <v>142</v>
      </c>
      <c r="C104" s="716"/>
      <c r="D104" s="716"/>
      <c r="E104" s="716"/>
      <c r="F104" s="716"/>
      <c r="G104" s="716"/>
      <c r="H104" s="275" t="s">
        <v>83</v>
      </c>
      <c r="I104" s="430" t="s">
        <v>84</v>
      </c>
      <c r="J104" s="535"/>
      <c r="K104" s="430" t="s">
        <v>84</v>
      </c>
    </row>
    <row r="105" spans="1:11" s="177" customFormat="1" ht="22.9" customHeight="1">
      <c r="A105" s="235" t="s">
        <v>58</v>
      </c>
      <c r="B105" s="590" t="s">
        <v>143</v>
      </c>
      <c r="C105" s="590"/>
      <c r="D105" s="590"/>
      <c r="E105" s="590"/>
      <c r="F105" s="590"/>
      <c r="G105" s="590"/>
      <c r="H105" s="466">
        <v>0</v>
      </c>
      <c r="I105" s="259">
        <f>ROUND(H105*I125,2)</f>
        <v>0</v>
      </c>
      <c r="J105" s="535"/>
      <c r="K105" s="259">
        <f>ROUND(H105*K125,2)</f>
        <v>0</v>
      </c>
    </row>
    <row r="106" spans="1:11" s="177" customFormat="1" ht="21" customHeight="1">
      <c r="A106" s="235" t="s">
        <v>60</v>
      </c>
      <c r="B106" s="590" t="s">
        <v>144</v>
      </c>
      <c r="C106" s="590"/>
      <c r="D106" s="590"/>
      <c r="E106" s="590"/>
      <c r="F106" s="590"/>
      <c r="G106" s="590"/>
      <c r="H106" s="466">
        <v>0</v>
      </c>
      <c r="I106" s="259">
        <f>ROUND((I125+I105)*H106,2)</f>
        <v>0</v>
      </c>
      <c r="J106" s="535"/>
      <c r="K106" s="259">
        <f>ROUND((K125+K105)*H106,2)</f>
        <v>0</v>
      </c>
    </row>
    <row r="107" spans="1:11" s="177" customFormat="1" ht="25.5" customHeight="1">
      <c r="A107" s="280"/>
      <c r="B107" s="591" t="s">
        <v>145</v>
      </c>
      <c r="C107" s="592"/>
      <c r="D107" s="592"/>
      <c r="E107" s="592"/>
      <c r="F107" s="593"/>
      <c r="G107" s="646" t="s">
        <v>146</v>
      </c>
      <c r="H107" s="647"/>
      <c r="I107" s="281">
        <f>I105+I106+I102</f>
        <v>4760.9400000000005</v>
      </c>
      <c r="J107" s="535"/>
      <c r="K107" s="281">
        <f>K105+K106+K102</f>
        <v>5311.5599999999995</v>
      </c>
    </row>
    <row r="108" spans="1:11" s="177" customFormat="1" ht="23.25" customHeight="1">
      <c r="A108" s="555" t="s">
        <v>63</v>
      </c>
      <c r="B108" s="726" t="s">
        <v>147</v>
      </c>
      <c r="C108" s="727"/>
      <c r="D108" s="727"/>
      <c r="E108" s="727"/>
      <c r="F108" s="728"/>
      <c r="G108" s="431">
        <f>(H115*100)</f>
        <v>8.6499999999999986</v>
      </c>
      <c r="H108" s="432">
        <f>+(100-G108)/100</f>
        <v>0.91349999999999998</v>
      </c>
      <c r="I108" s="290">
        <f>I107/H108</f>
        <v>5211.7569786535314</v>
      </c>
      <c r="J108" s="535"/>
      <c r="K108" s="290">
        <f>K107/H108</f>
        <v>5814.5155993431854</v>
      </c>
    </row>
    <row r="109" spans="1:11" s="177" customFormat="1" ht="20.100000000000001" customHeight="1">
      <c r="A109" s="540"/>
      <c r="B109" s="729" t="s">
        <v>148</v>
      </c>
      <c r="C109" s="730"/>
      <c r="D109" s="730"/>
      <c r="E109" s="730"/>
      <c r="F109" s="730"/>
      <c r="G109" s="730"/>
      <c r="H109" s="730"/>
      <c r="I109" s="730"/>
      <c r="J109" s="730"/>
      <c r="K109" s="731"/>
    </row>
    <row r="110" spans="1:11" s="177" customFormat="1" ht="27.75" customHeight="1">
      <c r="A110" s="555"/>
      <c r="B110" s="630" t="s">
        <v>396</v>
      </c>
      <c r="C110" s="732"/>
      <c r="D110" s="732"/>
      <c r="E110" s="732"/>
      <c r="F110" s="732"/>
      <c r="G110" s="732"/>
      <c r="H110" s="467">
        <v>6.4999999999999997E-3</v>
      </c>
      <c r="I110" s="433">
        <f>I108*H110</f>
        <v>33.876420361247952</v>
      </c>
      <c r="J110" s="535"/>
      <c r="K110" s="433">
        <f>K108*H110</f>
        <v>37.7943513957307</v>
      </c>
    </row>
    <row r="111" spans="1:11" s="177" customFormat="1" ht="20.100000000000001" customHeight="1">
      <c r="A111" s="555"/>
      <c r="B111" s="590" t="s">
        <v>397</v>
      </c>
      <c r="C111" s="617"/>
      <c r="D111" s="617"/>
      <c r="E111" s="617"/>
      <c r="F111" s="617"/>
      <c r="G111" s="617"/>
      <c r="H111" s="468">
        <v>0.03</v>
      </c>
      <c r="I111" s="259">
        <f>I108*H111</f>
        <v>156.35270935960594</v>
      </c>
      <c r="J111" s="535"/>
      <c r="K111" s="259">
        <f>K108*H111</f>
        <v>174.43546798029556</v>
      </c>
    </row>
    <row r="112" spans="1:11" s="177" customFormat="1" ht="20.100000000000001" customHeight="1">
      <c r="A112" s="555"/>
      <c r="B112" s="287" t="s">
        <v>149</v>
      </c>
      <c r="C112" s="288"/>
      <c r="D112" s="288"/>
      <c r="E112" s="288"/>
      <c r="F112" s="288"/>
      <c r="G112" s="288"/>
      <c r="H112" s="469"/>
      <c r="I112" s="259"/>
      <c r="J112" s="535"/>
      <c r="K112" s="259"/>
    </row>
    <row r="113" spans="1:11" s="177" customFormat="1" ht="20.100000000000001" customHeight="1">
      <c r="A113" s="555"/>
      <c r="B113" s="590" t="s">
        <v>398</v>
      </c>
      <c r="C113" s="590"/>
      <c r="D113" s="590"/>
      <c r="E113" s="590"/>
      <c r="F113" s="590"/>
      <c r="G113" s="590"/>
      <c r="H113" s="470">
        <v>0.05</v>
      </c>
      <c r="I113" s="259">
        <f>I108*H113</f>
        <v>260.58784893267659</v>
      </c>
      <c r="J113" s="535"/>
      <c r="K113" s="259">
        <f>K108*H113</f>
        <v>290.72577996715927</v>
      </c>
    </row>
    <row r="114" spans="1:11" s="177" customFormat="1" ht="20.100000000000001" customHeight="1">
      <c r="A114" s="555"/>
      <c r="B114" s="590" t="s">
        <v>399</v>
      </c>
      <c r="C114" s="590"/>
      <c r="D114" s="590"/>
      <c r="E114" s="590"/>
      <c r="F114" s="590"/>
      <c r="G114" s="590"/>
      <c r="H114" s="468">
        <v>0</v>
      </c>
      <c r="I114" s="259">
        <f>I108*H114</f>
        <v>0</v>
      </c>
      <c r="J114" s="535"/>
      <c r="K114" s="259">
        <f>K108*H114</f>
        <v>0</v>
      </c>
    </row>
    <row r="115" spans="1:11" s="177" customFormat="1" ht="20.100000000000001" customHeight="1">
      <c r="A115" s="611" t="s">
        <v>150</v>
      </c>
      <c r="B115" s="612"/>
      <c r="C115" s="612"/>
      <c r="D115" s="612"/>
      <c r="E115" s="612"/>
      <c r="F115" s="612"/>
      <c r="G115" s="613"/>
      <c r="H115" s="471">
        <f>SUM(H110:H114)</f>
        <v>8.6499999999999994E-2</v>
      </c>
      <c r="I115" s="259">
        <f>SUM(I110:I114)</f>
        <v>450.8169786535305</v>
      </c>
      <c r="J115" s="535"/>
      <c r="K115" s="259">
        <f>SUM(K110:K114)</f>
        <v>502.95559934318555</v>
      </c>
    </row>
    <row r="116" spans="1:11" s="177" customFormat="1" ht="16.5" customHeight="1">
      <c r="A116" s="651" t="s">
        <v>151</v>
      </c>
      <c r="B116" s="664"/>
      <c r="C116" s="664"/>
      <c r="D116" s="664"/>
      <c r="E116" s="664"/>
      <c r="F116" s="664"/>
      <c r="G116" s="664"/>
      <c r="H116" s="665"/>
      <c r="I116" s="261">
        <f>I105+I106+I115</f>
        <v>450.8169786535305</v>
      </c>
      <c r="J116" s="535"/>
      <c r="K116" s="261">
        <f>K105+K106+K115</f>
        <v>502.95559934318555</v>
      </c>
    </row>
    <row r="117" spans="1:11" s="177" customFormat="1" ht="20.100000000000001" customHeight="1">
      <c r="A117" s="614" t="s">
        <v>152</v>
      </c>
      <c r="B117" s="615"/>
      <c r="C117" s="615"/>
      <c r="D117" s="615"/>
      <c r="E117" s="615"/>
      <c r="F117" s="615"/>
      <c r="G117" s="615"/>
      <c r="H117" s="616"/>
      <c r="I117" s="418">
        <f>I116</f>
        <v>450.8169786535305</v>
      </c>
      <c r="J117" s="535"/>
      <c r="K117" s="418">
        <f>K116</f>
        <v>502.95559934318555</v>
      </c>
    </row>
    <row r="118" spans="1:11" s="177" customFormat="1" ht="20.100000000000001" customHeight="1">
      <c r="A118" s="643" t="s">
        <v>153</v>
      </c>
      <c r="B118" s="644"/>
      <c r="C118" s="644"/>
      <c r="D118" s="644"/>
      <c r="E118" s="644"/>
      <c r="F118" s="644"/>
      <c r="G118" s="644"/>
      <c r="H118" s="644"/>
      <c r="I118" s="644"/>
      <c r="J118" s="644"/>
      <c r="K118" s="645"/>
    </row>
    <row r="119" spans="1:11" s="177" customFormat="1" ht="22.15" customHeight="1">
      <c r="A119" s="605" t="s">
        <v>154</v>
      </c>
      <c r="B119" s="605"/>
      <c r="C119" s="605"/>
      <c r="D119" s="605"/>
      <c r="E119" s="605"/>
      <c r="F119" s="605"/>
      <c r="G119" s="605"/>
      <c r="H119" s="605"/>
      <c r="I119" s="327" t="s">
        <v>84</v>
      </c>
      <c r="J119" s="537"/>
      <c r="K119" s="327" t="s">
        <v>84</v>
      </c>
    </row>
    <row r="120" spans="1:11" s="177" customFormat="1" ht="20.100000000000001" customHeight="1">
      <c r="A120" s="289" t="s">
        <v>58</v>
      </c>
      <c r="B120" s="590" t="s">
        <v>155</v>
      </c>
      <c r="C120" s="590"/>
      <c r="D120" s="590"/>
      <c r="E120" s="590"/>
      <c r="F120" s="590"/>
      <c r="G120" s="590"/>
      <c r="H120" s="590"/>
      <c r="I120" s="259">
        <f>I28</f>
        <v>2204.0500000000002</v>
      </c>
      <c r="J120" s="538"/>
      <c r="K120" s="259">
        <f>K28</f>
        <v>2509.35</v>
      </c>
    </row>
    <row r="121" spans="1:11" s="177" customFormat="1" ht="20.100000000000001" customHeight="1">
      <c r="A121" s="289" t="s">
        <v>60</v>
      </c>
      <c r="B121" s="590" t="s">
        <v>156</v>
      </c>
      <c r="C121" s="590"/>
      <c r="D121" s="590"/>
      <c r="E121" s="590"/>
      <c r="F121" s="590"/>
      <c r="G121" s="590"/>
      <c r="H121" s="590"/>
      <c r="I121" s="259">
        <f>I69</f>
        <v>2201.6800000000003</v>
      </c>
      <c r="J121" s="538"/>
      <c r="K121" s="259">
        <f>K69</f>
        <v>2416.2400000000002</v>
      </c>
    </row>
    <row r="122" spans="1:11" s="177" customFormat="1" ht="20.100000000000001" customHeight="1">
      <c r="A122" s="289" t="s">
        <v>63</v>
      </c>
      <c r="B122" s="590" t="s">
        <v>116</v>
      </c>
      <c r="C122" s="590"/>
      <c r="D122" s="590"/>
      <c r="E122" s="590"/>
      <c r="F122" s="590"/>
      <c r="G122" s="590"/>
      <c r="H122" s="590"/>
      <c r="I122" s="259">
        <f>I77</f>
        <v>155.47</v>
      </c>
      <c r="J122" s="538"/>
      <c r="K122" s="259">
        <f>K77</f>
        <v>177</v>
      </c>
    </row>
    <row r="123" spans="1:11" s="177" customFormat="1" ht="20.100000000000001" customHeight="1">
      <c r="A123" s="289" t="s">
        <v>65</v>
      </c>
      <c r="B123" s="590" t="s">
        <v>124</v>
      </c>
      <c r="C123" s="590"/>
      <c r="D123" s="590"/>
      <c r="E123" s="590"/>
      <c r="F123" s="590"/>
      <c r="G123" s="590"/>
      <c r="H123" s="590"/>
      <c r="I123" s="259">
        <f>I88</f>
        <v>66.55</v>
      </c>
      <c r="J123" s="538"/>
      <c r="K123" s="259">
        <f>K88</f>
        <v>75.78</v>
      </c>
    </row>
    <row r="124" spans="1:11" s="177" customFormat="1" ht="20.100000000000001" customHeight="1">
      <c r="A124" s="289" t="s">
        <v>49</v>
      </c>
      <c r="B124" s="590" t="s">
        <v>157</v>
      </c>
      <c r="C124" s="590"/>
      <c r="D124" s="590"/>
      <c r="E124" s="590"/>
      <c r="F124" s="590"/>
      <c r="G124" s="590"/>
      <c r="H124" s="590"/>
      <c r="I124" s="259">
        <f>I95</f>
        <v>133.19</v>
      </c>
      <c r="J124" s="538"/>
      <c r="K124" s="259">
        <f>K95</f>
        <v>133.19</v>
      </c>
    </row>
    <row r="125" spans="1:11" s="177" customFormat="1" ht="20.100000000000001" customHeight="1">
      <c r="A125" s="618" t="s">
        <v>158</v>
      </c>
      <c r="B125" s="618"/>
      <c r="C125" s="618"/>
      <c r="D125" s="618"/>
      <c r="E125" s="618"/>
      <c r="F125" s="618"/>
      <c r="G125" s="618"/>
      <c r="H125" s="618"/>
      <c r="I125" s="268">
        <f>TRUNC(SUM(I120:I124),2)</f>
        <v>4760.9399999999996</v>
      </c>
      <c r="J125" s="538"/>
      <c r="K125" s="268">
        <f>TRUNC(SUM(K120:K124),2)</f>
        <v>5311.56</v>
      </c>
    </row>
    <row r="126" spans="1:11" s="177" customFormat="1" ht="20.100000000000001" customHeight="1">
      <c r="A126" s="289" t="s">
        <v>102</v>
      </c>
      <c r="B126" s="590" t="s">
        <v>159</v>
      </c>
      <c r="C126" s="590"/>
      <c r="D126" s="590"/>
      <c r="E126" s="590"/>
      <c r="F126" s="590"/>
      <c r="G126" s="590"/>
      <c r="H126" s="590"/>
      <c r="I126" s="290">
        <f>I116</f>
        <v>450.8169786535305</v>
      </c>
      <c r="J126" s="538"/>
      <c r="K126" s="290">
        <f>K116</f>
        <v>502.95559934318555</v>
      </c>
    </row>
    <row r="127" spans="1:11" s="177" customFormat="1" ht="20.100000000000001" customHeight="1">
      <c r="A127" s="628" t="s">
        <v>358</v>
      </c>
      <c r="B127" s="628"/>
      <c r="C127" s="628"/>
      <c r="D127" s="628"/>
      <c r="E127" s="628"/>
      <c r="F127" s="628"/>
      <c r="G127" s="628"/>
      <c r="H127" s="629"/>
      <c r="I127" s="291">
        <f>+I125+I126</f>
        <v>5211.7569786535305</v>
      </c>
      <c r="J127" s="539"/>
      <c r="K127" s="292">
        <f>+K125+K126</f>
        <v>5814.5155993431863</v>
      </c>
    </row>
    <row r="128" spans="1:11" s="177" customFormat="1" ht="20.100000000000001" customHeight="1">
      <c r="A128" s="595" t="s">
        <v>412</v>
      </c>
      <c r="B128" s="596"/>
      <c r="C128" s="596"/>
      <c r="D128" s="596"/>
      <c r="E128" s="596"/>
      <c r="F128" s="596"/>
      <c r="G128" s="596"/>
      <c r="H128" s="597"/>
      <c r="I128" s="291">
        <f>ROUND(I127*2,2)</f>
        <v>10423.51</v>
      </c>
      <c r="J128" s="293"/>
      <c r="K128" s="292">
        <f>ROUND(K127*2,2)</f>
        <v>11629.03</v>
      </c>
    </row>
    <row r="129" spans="1:13" s="177" customFormat="1" ht="20.100000000000001" customHeight="1">
      <c r="A129" s="679" t="s">
        <v>439</v>
      </c>
      <c r="B129" s="679"/>
      <c r="C129" s="679"/>
      <c r="D129" s="679"/>
      <c r="E129" s="679"/>
      <c r="F129" s="679"/>
      <c r="G129" s="679"/>
      <c r="H129" s="680"/>
      <c r="I129" s="291">
        <f>I128*60</f>
        <v>625410.6</v>
      </c>
      <c r="J129" s="293"/>
      <c r="K129" s="292">
        <f>K128*60</f>
        <v>697741.8</v>
      </c>
    </row>
    <row r="130" spans="1:13" s="177" customFormat="1" ht="20.100000000000001" customHeight="1">
      <c r="A130" s="628" t="s">
        <v>472</v>
      </c>
      <c r="B130" s="628"/>
      <c r="C130" s="628"/>
      <c r="D130" s="628"/>
      <c r="E130" s="628"/>
      <c r="F130" s="628"/>
      <c r="G130" s="628"/>
      <c r="H130" s="629"/>
      <c r="I130" s="291">
        <f>I129*I10</f>
        <v>1876231.7999999998</v>
      </c>
      <c r="J130" s="199"/>
      <c r="K130" s="292">
        <f>K129*K10</f>
        <v>3488709</v>
      </c>
      <c r="M130" s="472">
        <f>SUM(I130:K130)</f>
        <v>5364940.7999999998</v>
      </c>
    </row>
  </sheetData>
  <mergeCells count="196">
    <mergeCell ref="A127:H127"/>
    <mergeCell ref="A128:H128"/>
    <mergeCell ref="A130:H130"/>
    <mergeCell ref="A129:H129"/>
    <mergeCell ref="B109:K109"/>
    <mergeCell ref="A118:K118"/>
    <mergeCell ref="A119:H119"/>
    <mergeCell ref="J119:J127"/>
    <mergeCell ref="B120:H120"/>
    <mergeCell ref="B121:H121"/>
    <mergeCell ref="B122:H122"/>
    <mergeCell ref="B123:H123"/>
    <mergeCell ref="B124:H124"/>
    <mergeCell ref="A125:H125"/>
    <mergeCell ref="B126:H126"/>
    <mergeCell ref="A108:A114"/>
    <mergeCell ref="B108:F108"/>
    <mergeCell ref="B110:G110"/>
    <mergeCell ref="J110:J117"/>
    <mergeCell ref="B111:G111"/>
    <mergeCell ref="B113:G113"/>
    <mergeCell ref="B114:G114"/>
    <mergeCell ref="A115:G115"/>
    <mergeCell ref="A116:H116"/>
    <mergeCell ref="A117:H117"/>
    <mergeCell ref="B104:G104"/>
    <mergeCell ref="J104:J108"/>
    <mergeCell ref="B105:G105"/>
    <mergeCell ref="B106:G106"/>
    <mergeCell ref="B107:F107"/>
    <mergeCell ref="G107:H107"/>
    <mergeCell ref="G98:H98"/>
    <mergeCell ref="G99:H99"/>
    <mergeCell ref="G100:H100"/>
    <mergeCell ref="G101:H101"/>
    <mergeCell ref="G102:H102"/>
    <mergeCell ref="A103:K103"/>
    <mergeCell ref="A90:K90"/>
    <mergeCell ref="B91:H91"/>
    <mergeCell ref="J91:J102"/>
    <mergeCell ref="B92:H92"/>
    <mergeCell ref="B93:H93"/>
    <mergeCell ref="B94:H94"/>
    <mergeCell ref="A95:H95"/>
    <mergeCell ref="A96:I96"/>
    <mergeCell ref="A97:F102"/>
    <mergeCell ref="G97:H97"/>
    <mergeCell ref="FS59:FZ59"/>
    <mergeCell ref="GA59:GH59"/>
    <mergeCell ref="B60:F60"/>
    <mergeCell ref="A61:H61"/>
    <mergeCell ref="DG59:DN59"/>
    <mergeCell ref="DO59:DV59"/>
    <mergeCell ref="DW59:ED59"/>
    <mergeCell ref="EE59:EL59"/>
    <mergeCell ref="EM59:ET59"/>
    <mergeCell ref="EU59:FB59"/>
    <mergeCell ref="BK59:BR59"/>
    <mergeCell ref="BS59:BZ59"/>
    <mergeCell ref="CA59:CH59"/>
    <mergeCell ref="CI59:CP59"/>
    <mergeCell ref="CQ59:CX59"/>
    <mergeCell ref="CY59:DF59"/>
    <mergeCell ref="O59:V59"/>
    <mergeCell ref="W59:AD59"/>
    <mergeCell ref="AE59:AL59"/>
    <mergeCell ref="AM59:AT59"/>
    <mergeCell ref="AU59:BB59"/>
    <mergeCell ref="BC59:BJ59"/>
    <mergeCell ref="FC59:FJ59"/>
    <mergeCell ref="FK59:FR59"/>
    <mergeCell ref="B85:G85"/>
    <mergeCell ref="B86:G86"/>
    <mergeCell ref="B87:G87"/>
    <mergeCell ref="A88:H88"/>
    <mergeCell ref="A58:K58"/>
    <mergeCell ref="B59:H59"/>
    <mergeCell ref="G78:H78"/>
    <mergeCell ref="A79:K79"/>
    <mergeCell ref="A80:K80"/>
    <mergeCell ref="B81:H81"/>
    <mergeCell ref="J81:J88"/>
    <mergeCell ref="B82:G82"/>
    <mergeCell ref="B83:G83"/>
    <mergeCell ref="B84:G84"/>
    <mergeCell ref="A69:H69"/>
    <mergeCell ref="A62:K62"/>
    <mergeCell ref="B68:H68"/>
    <mergeCell ref="B56:H56"/>
    <mergeCell ref="B57:H57"/>
    <mergeCell ref="A63:K63"/>
    <mergeCell ref="A70:K70"/>
    <mergeCell ref="B71:H71"/>
    <mergeCell ref="B72:G72"/>
    <mergeCell ref="B73:G73"/>
    <mergeCell ref="B74:G74"/>
    <mergeCell ref="J74:J78"/>
    <mergeCell ref="B75:G75"/>
    <mergeCell ref="B76:G76"/>
    <mergeCell ref="A77:G77"/>
    <mergeCell ref="A78:F78"/>
    <mergeCell ref="B64:H64"/>
    <mergeCell ref="B51:E51"/>
    <mergeCell ref="B52:F52"/>
    <mergeCell ref="B53:H53"/>
    <mergeCell ref="B54:H54"/>
    <mergeCell ref="B55:H55"/>
    <mergeCell ref="EM50:ET50"/>
    <mergeCell ref="EU50:FB50"/>
    <mergeCell ref="FC50:FJ50"/>
    <mergeCell ref="FK50:FR50"/>
    <mergeCell ref="FS50:FZ50"/>
    <mergeCell ref="GA50:GH50"/>
    <mergeCell ref="CQ50:CX50"/>
    <mergeCell ref="CY50:DF50"/>
    <mergeCell ref="DG50:DN50"/>
    <mergeCell ref="DO50:DV50"/>
    <mergeCell ref="DW50:ED50"/>
    <mergeCell ref="EE50:EL50"/>
    <mergeCell ref="AU50:BB50"/>
    <mergeCell ref="BC50:BJ50"/>
    <mergeCell ref="BK50:BR50"/>
    <mergeCell ref="BS50:BZ50"/>
    <mergeCell ref="CA50:CH50"/>
    <mergeCell ref="CI50:CP50"/>
    <mergeCell ref="A49:K49"/>
    <mergeCell ref="B50:H50"/>
    <mergeCell ref="O50:V50"/>
    <mergeCell ref="W50:AD50"/>
    <mergeCell ref="AE50:AL50"/>
    <mergeCell ref="AM50:AT50"/>
    <mergeCell ref="B43:G43"/>
    <mergeCell ref="B44:G44"/>
    <mergeCell ref="B45:G45"/>
    <mergeCell ref="B46:G46"/>
    <mergeCell ref="B47:G47"/>
    <mergeCell ref="A48:G48"/>
    <mergeCell ref="A35:F37"/>
    <mergeCell ref="G35:H35"/>
    <mergeCell ref="G36:H36"/>
    <mergeCell ref="G37:H37"/>
    <mergeCell ref="A38:K38"/>
    <mergeCell ref="B39:G39"/>
    <mergeCell ref="J39:J48"/>
    <mergeCell ref="B40:G40"/>
    <mergeCell ref="B41:G41"/>
    <mergeCell ref="A29:K29"/>
    <mergeCell ref="A30:K30"/>
    <mergeCell ref="B31:G31"/>
    <mergeCell ref="B32:G32"/>
    <mergeCell ref="B33:G33"/>
    <mergeCell ref="A34:G34"/>
    <mergeCell ref="A21:K21"/>
    <mergeCell ref="B22:G22"/>
    <mergeCell ref="J22:J28"/>
    <mergeCell ref="B23:H23"/>
    <mergeCell ref="B24:E24"/>
    <mergeCell ref="B25:G25"/>
    <mergeCell ref="A26:H26"/>
    <mergeCell ref="B27:G27"/>
    <mergeCell ref="A28:H28"/>
    <mergeCell ref="I17:K17"/>
    <mergeCell ref="B18:H18"/>
    <mergeCell ref="I18:K18"/>
    <mergeCell ref="A19:K19"/>
    <mergeCell ref="A20:H20"/>
    <mergeCell ref="B14:H14"/>
    <mergeCell ref="I14:K14"/>
    <mergeCell ref="B15:H15"/>
    <mergeCell ref="I15:K15"/>
    <mergeCell ref="B16:H16"/>
    <mergeCell ref="I16:K16"/>
    <mergeCell ref="A1:H2"/>
    <mergeCell ref="I1:K1"/>
    <mergeCell ref="A3:K3"/>
    <mergeCell ref="B4:H4"/>
    <mergeCell ref="I4:K4"/>
    <mergeCell ref="B5:H5"/>
    <mergeCell ref="I5:K5"/>
    <mergeCell ref="B42:C42"/>
    <mergeCell ref="A10:F10"/>
    <mergeCell ref="G10:H10"/>
    <mergeCell ref="A11:K11"/>
    <mergeCell ref="B12:H12"/>
    <mergeCell ref="I12:K12"/>
    <mergeCell ref="B13:H13"/>
    <mergeCell ref="I13:K13"/>
    <mergeCell ref="B6:H6"/>
    <mergeCell ref="I6:K6"/>
    <mergeCell ref="B7:H7"/>
    <mergeCell ref="I7:K7"/>
    <mergeCell ref="A8:K8"/>
    <mergeCell ref="A9:F9"/>
    <mergeCell ref="G9:H9"/>
    <mergeCell ref="I9:K9"/>
    <mergeCell ref="B17:H17"/>
  </mergeCells>
  <pageMargins left="0.23622047244094491" right="0.23622047244094491" top="0.74803149606299213" bottom="0.74803149606299213" header="0.31496062992125984" footer="0.31496062992125984"/>
  <pageSetup paperSize="9" scale="10" fitToHeight="0" orientation="portrait" r:id="rId1"/>
  <headerFooter>
    <oddHeader>&amp;A</oddHead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W31"/>
  <sheetViews>
    <sheetView topLeftCell="A27" workbookViewId="0"/>
  </sheetViews>
  <sheetFormatPr defaultRowHeight="15"/>
  <cols>
    <col min="1" max="1" width="12.85546875" style="14" customWidth="1"/>
    <col min="2" max="2" width="19.140625" style="14" customWidth="1"/>
    <col min="3" max="3" width="7.28515625" style="14" customWidth="1"/>
    <col min="4" max="4" width="58.28515625" style="14" customWidth="1"/>
    <col min="5" max="5" width="22" style="14" customWidth="1"/>
    <col min="6" max="6" width="11.7109375" style="14" customWidth="1"/>
    <col min="7" max="7" width="20" style="30" customWidth="1"/>
    <col min="8" max="8" width="25.85546875" style="30" customWidth="1"/>
    <col min="9" max="257" width="11.7109375" style="14" customWidth="1"/>
    <col min="258" max="1024" width="11.42578125" customWidth="1"/>
    <col min="1025" max="1025" width="9.140625" customWidth="1"/>
  </cols>
  <sheetData>
    <row r="1" spans="1:10" ht="25.5" hidden="1" customHeight="1">
      <c r="A1" s="744" t="s">
        <v>162</v>
      </c>
      <c r="B1" s="744"/>
      <c r="C1" s="744"/>
      <c r="D1" s="744"/>
      <c r="E1" s="744"/>
      <c r="F1" s="744"/>
      <c r="G1" s="744"/>
      <c r="H1" s="744"/>
    </row>
    <row r="2" spans="1:10" ht="47.25" hidden="1" customHeight="1">
      <c r="A2" s="15" t="s">
        <v>39</v>
      </c>
      <c r="B2" s="15" t="s">
        <v>52</v>
      </c>
      <c r="C2" s="745" t="s">
        <v>163</v>
      </c>
      <c r="D2" s="745"/>
      <c r="E2" s="16" t="s">
        <v>164</v>
      </c>
      <c r="F2" s="16" t="s">
        <v>165</v>
      </c>
      <c r="G2" s="17" t="s">
        <v>166</v>
      </c>
      <c r="H2" s="17" t="s">
        <v>167</v>
      </c>
    </row>
    <row r="3" spans="1:10" ht="27.75" hidden="1" customHeight="1">
      <c r="A3" s="740">
        <v>1</v>
      </c>
      <c r="B3" s="741" t="s">
        <v>168</v>
      </c>
      <c r="C3" s="19">
        <v>1</v>
      </c>
      <c r="D3" s="20" t="s">
        <v>169</v>
      </c>
      <c r="E3" s="21" t="s">
        <v>170</v>
      </c>
      <c r="F3" s="21">
        <v>4</v>
      </c>
      <c r="G3" s="22">
        <v>0</v>
      </c>
      <c r="H3" s="23">
        <f>G3*F3</f>
        <v>0</v>
      </c>
    </row>
    <row r="4" spans="1:10" ht="16.5" hidden="1" customHeight="1">
      <c r="A4" s="740"/>
      <c r="B4" s="741"/>
      <c r="C4" s="19">
        <v>2</v>
      </c>
      <c r="D4" s="20" t="s">
        <v>171</v>
      </c>
      <c r="E4" s="21" t="s">
        <v>170</v>
      </c>
      <c r="F4" s="21">
        <v>3</v>
      </c>
      <c r="G4" s="22">
        <v>0</v>
      </c>
      <c r="H4" s="23">
        <f>G4*F4</f>
        <v>0</v>
      </c>
    </row>
    <row r="5" spans="1:10" ht="27.75" hidden="1" customHeight="1">
      <c r="A5" s="740"/>
      <c r="B5" s="741"/>
      <c r="C5" s="19">
        <v>3</v>
      </c>
      <c r="D5" s="20" t="s">
        <v>172</v>
      </c>
      <c r="E5" s="21" t="s">
        <v>173</v>
      </c>
      <c r="F5" s="21">
        <v>2</v>
      </c>
      <c r="G5" s="22">
        <v>0</v>
      </c>
      <c r="H5" s="23">
        <f>G5*F5</f>
        <v>0</v>
      </c>
    </row>
    <row r="6" spans="1:10" ht="16.5" hidden="1" customHeight="1">
      <c r="A6" s="740"/>
      <c r="B6" s="741"/>
      <c r="C6" s="24">
        <v>4</v>
      </c>
      <c r="D6" s="25" t="s">
        <v>174</v>
      </c>
      <c r="E6" s="18" t="s">
        <v>173</v>
      </c>
      <c r="F6" s="18">
        <v>1</v>
      </c>
      <c r="G6" s="26">
        <v>0</v>
      </c>
      <c r="H6" s="27">
        <f>G6*F6</f>
        <v>0</v>
      </c>
    </row>
    <row r="7" spans="1:10" ht="16.5" hidden="1" customHeight="1">
      <c r="A7" s="740"/>
      <c r="B7" s="741"/>
      <c r="C7" s="24">
        <v>5</v>
      </c>
      <c r="D7" s="28" t="s">
        <v>175</v>
      </c>
      <c r="E7" s="18" t="s">
        <v>173</v>
      </c>
      <c r="F7" s="18">
        <v>4</v>
      </c>
      <c r="G7" s="26">
        <v>0</v>
      </c>
      <c r="H7" s="27">
        <f>G7*F7</f>
        <v>0</v>
      </c>
    </row>
    <row r="8" spans="1:10" ht="15.75" hidden="1" customHeight="1">
      <c r="A8" s="740"/>
      <c r="B8" s="741"/>
      <c r="C8" s="746" t="s">
        <v>176</v>
      </c>
      <c r="D8" s="746"/>
      <c r="E8" s="746"/>
      <c r="F8" s="746"/>
      <c r="G8" s="746"/>
      <c r="H8" s="29">
        <f>SUM(H3:H7)</f>
        <v>0</v>
      </c>
      <c r="J8" s="30"/>
    </row>
    <row r="9" spans="1:10" ht="15.75" hidden="1" customHeight="1">
      <c r="A9" s="740"/>
      <c r="B9" s="741"/>
      <c r="C9" s="746" t="s">
        <v>177</v>
      </c>
      <c r="D9" s="746"/>
      <c r="E9" s="746"/>
      <c r="F9" s="746"/>
      <c r="G9" s="746"/>
      <c r="H9" s="29">
        <f>H8/12</f>
        <v>0</v>
      </c>
    </row>
    <row r="10" spans="1:10" ht="28.5" hidden="1" customHeight="1">
      <c r="A10" s="740"/>
      <c r="B10" s="741" t="s">
        <v>178</v>
      </c>
      <c r="C10" s="24">
        <v>1</v>
      </c>
      <c r="D10" s="20" t="s">
        <v>179</v>
      </c>
      <c r="E10" s="18" t="s">
        <v>170</v>
      </c>
      <c r="F10" s="18">
        <v>3</v>
      </c>
      <c r="G10" s="26">
        <v>0</v>
      </c>
      <c r="H10" s="27">
        <f t="shared" ref="H10:H17" si="0">F10*G10</f>
        <v>0</v>
      </c>
    </row>
    <row r="11" spans="1:10" ht="27.75" hidden="1" customHeight="1">
      <c r="A11" s="740"/>
      <c r="B11" s="741"/>
      <c r="C11" s="24">
        <v>2</v>
      </c>
      <c r="D11" s="20" t="s">
        <v>180</v>
      </c>
      <c r="E11" s="18" t="s">
        <v>170</v>
      </c>
      <c r="F11" s="18">
        <v>2</v>
      </c>
      <c r="G11" s="26">
        <v>0</v>
      </c>
      <c r="H11" s="27">
        <f t="shared" si="0"/>
        <v>0</v>
      </c>
    </row>
    <row r="12" spans="1:10" ht="16.5" hidden="1" customHeight="1">
      <c r="A12" s="740"/>
      <c r="B12" s="741"/>
      <c r="C12" s="24">
        <v>3</v>
      </c>
      <c r="D12" s="20" t="s">
        <v>181</v>
      </c>
      <c r="E12" s="18" t="s">
        <v>170</v>
      </c>
      <c r="F12" s="18">
        <v>3</v>
      </c>
      <c r="G12" s="26">
        <v>0</v>
      </c>
      <c r="H12" s="27">
        <f t="shared" si="0"/>
        <v>0</v>
      </c>
      <c r="J12" s="30"/>
    </row>
    <row r="13" spans="1:10" ht="30" hidden="1" customHeight="1">
      <c r="A13" s="740"/>
      <c r="B13" s="741"/>
      <c r="C13" s="24">
        <v>4</v>
      </c>
      <c r="D13" s="20" t="s">
        <v>182</v>
      </c>
      <c r="E13" s="18" t="s">
        <v>173</v>
      </c>
      <c r="F13" s="18">
        <v>2</v>
      </c>
      <c r="G13" s="26">
        <v>0</v>
      </c>
      <c r="H13" s="27">
        <f t="shared" si="0"/>
        <v>0</v>
      </c>
      <c r="J13" s="30"/>
    </row>
    <row r="14" spans="1:10" ht="15" hidden="1" customHeight="1">
      <c r="A14" s="740"/>
      <c r="B14" s="741"/>
      <c r="C14" s="24">
        <v>5</v>
      </c>
      <c r="D14" s="20" t="s">
        <v>175</v>
      </c>
      <c r="E14" s="18" t="s">
        <v>173</v>
      </c>
      <c r="F14" s="18">
        <v>4</v>
      </c>
      <c r="G14" s="26">
        <v>0</v>
      </c>
      <c r="H14" s="27">
        <f t="shared" si="0"/>
        <v>0</v>
      </c>
    </row>
    <row r="15" spans="1:10" ht="15" hidden="1" customHeight="1">
      <c r="A15" s="740"/>
      <c r="B15" s="741"/>
      <c r="C15" s="24">
        <v>6</v>
      </c>
      <c r="D15" s="20" t="s">
        <v>183</v>
      </c>
      <c r="E15" s="18" t="s">
        <v>170</v>
      </c>
      <c r="F15" s="18">
        <v>1</v>
      </c>
      <c r="G15" s="26">
        <v>0</v>
      </c>
      <c r="H15" s="27">
        <f t="shared" si="0"/>
        <v>0</v>
      </c>
      <c r="J15" s="30"/>
    </row>
    <row r="16" spans="1:10" ht="15.75" hidden="1" customHeight="1">
      <c r="A16" s="740"/>
      <c r="B16" s="741"/>
      <c r="C16" s="24">
        <v>7</v>
      </c>
      <c r="D16" s="20" t="s">
        <v>184</v>
      </c>
      <c r="E16" s="18" t="s">
        <v>170</v>
      </c>
      <c r="F16" s="18">
        <v>1</v>
      </c>
      <c r="G16" s="26">
        <v>0</v>
      </c>
      <c r="H16" s="27">
        <f t="shared" si="0"/>
        <v>0</v>
      </c>
    </row>
    <row r="17" spans="1:8" ht="15.75" hidden="1" customHeight="1">
      <c r="A17" s="740"/>
      <c r="B17" s="741"/>
      <c r="C17" s="24">
        <v>8</v>
      </c>
      <c r="D17" s="20" t="s">
        <v>174</v>
      </c>
      <c r="E17" s="18" t="s">
        <v>173</v>
      </c>
      <c r="F17" s="18">
        <v>1</v>
      </c>
      <c r="G17" s="26">
        <v>0</v>
      </c>
      <c r="H17" s="27">
        <f t="shared" si="0"/>
        <v>0</v>
      </c>
    </row>
    <row r="18" spans="1:8" ht="18" hidden="1" customHeight="1">
      <c r="A18" s="740"/>
      <c r="B18" s="741"/>
      <c r="C18" s="742" t="s">
        <v>176</v>
      </c>
      <c r="D18" s="742"/>
      <c r="E18" s="742"/>
      <c r="F18" s="742"/>
      <c r="G18" s="742"/>
      <c r="H18" s="29">
        <f>SUM(H10:H17)</f>
        <v>0</v>
      </c>
    </row>
    <row r="19" spans="1:8" ht="18" hidden="1" customHeight="1">
      <c r="A19" s="740"/>
      <c r="B19" s="741"/>
      <c r="C19" s="742" t="s">
        <v>185</v>
      </c>
      <c r="D19" s="742"/>
      <c r="E19" s="742"/>
      <c r="F19" s="742"/>
      <c r="G19" s="742"/>
      <c r="H19" s="29">
        <f>H18/12</f>
        <v>0</v>
      </c>
    </row>
    <row r="20" spans="1:8" ht="33" hidden="1" customHeight="1">
      <c r="A20" s="739" t="s">
        <v>186</v>
      </c>
      <c r="B20" s="739"/>
      <c r="C20" s="739"/>
      <c r="D20" s="739"/>
      <c r="E20" s="739"/>
      <c r="F20" s="739"/>
      <c r="G20" s="739"/>
      <c r="H20" s="31">
        <f>(H19+H9)/2</f>
        <v>0</v>
      </c>
    </row>
    <row r="21" spans="1:8" ht="60.75" hidden="1" customHeight="1">
      <c r="A21" s="740">
        <v>2</v>
      </c>
      <c r="B21" s="741" t="s">
        <v>161</v>
      </c>
      <c r="C21" s="32">
        <v>1</v>
      </c>
      <c r="D21" s="20" t="s">
        <v>187</v>
      </c>
      <c r="E21" s="33" t="s">
        <v>170</v>
      </c>
      <c r="F21" s="33">
        <v>4</v>
      </c>
      <c r="G21" s="26">
        <v>0</v>
      </c>
      <c r="H21" s="34">
        <f>G21*F21</f>
        <v>0</v>
      </c>
    </row>
    <row r="22" spans="1:8" ht="44.25" hidden="1" customHeight="1">
      <c r="A22" s="740"/>
      <c r="B22" s="741"/>
      <c r="C22" s="32">
        <v>2</v>
      </c>
      <c r="D22" s="20" t="s">
        <v>188</v>
      </c>
      <c r="E22" s="33" t="s">
        <v>170</v>
      </c>
      <c r="F22" s="33">
        <v>3</v>
      </c>
      <c r="G22" s="26">
        <v>0</v>
      </c>
      <c r="H22" s="34">
        <f>G22*F22</f>
        <v>0</v>
      </c>
    </row>
    <row r="23" spans="1:8" ht="40.5" hidden="1" customHeight="1">
      <c r="A23" s="740"/>
      <c r="B23" s="741"/>
      <c r="C23" s="32">
        <v>3</v>
      </c>
      <c r="D23" s="20" t="s">
        <v>189</v>
      </c>
      <c r="E23" s="33" t="s">
        <v>173</v>
      </c>
      <c r="F23" s="33">
        <v>2</v>
      </c>
      <c r="G23" s="26">
        <v>0</v>
      </c>
      <c r="H23" s="34">
        <f>G23*F23</f>
        <v>0</v>
      </c>
    </row>
    <row r="24" spans="1:8" ht="15" hidden="1" customHeight="1">
      <c r="A24" s="740"/>
      <c r="B24" s="741"/>
      <c r="C24" s="32">
        <v>4</v>
      </c>
      <c r="D24" s="20" t="s">
        <v>175</v>
      </c>
      <c r="E24" s="33" t="s">
        <v>173</v>
      </c>
      <c r="F24" s="33">
        <v>4</v>
      </c>
      <c r="G24" s="26">
        <v>0</v>
      </c>
      <c r="H24" s="34">
        <f>G24*F24</f>
        <v>0</v>
      </c>
    </row>
    <row r="25" spans="1:8" ht="15" hidden="1" customHeight="1">
      <c r="A25" s="740"/>
      <c r="B25" s="741"/>
      <c r="C25" s="742" t="s">
        <v>190</v>
      </c>
      <c r="D25" s="742"/>
      <c r="E25" s="742"/>
      <c r="F25" s="742"/>
      <c r="G25" s="742"/>
      <c r="H25" s="35">
        <f>SUM(H21:H24)</f>
        <v>0</v>
      </c>
    </row>
    <row r="26" spans="1:8" ht="15" hidden="1" customHeight="1">
      <c r="A26" s="743" t="s">
        <v>191</v>
      </c>
      <c r="B26" s="743"/>
      <c r="C26" s="743"/>
      <c r="D26" s="743"/>
      <c r="E26" s="743"/>
      <c r="F26" s="743"/>
      <c r="G26" s="743"/>
      <c r="H26" s="36">
        <f>H25/12</f>
        <v>0</v>
      </c>
    </row>
    <row r="30" spans="1:8" ht="30.75" hidden="1" customHeight="1"/>
    <row r="31" spans="1:8" ht="49.5" hidden="1" customHeight="1"/>
  </sheetData>
  <mergeCells count="14">
    <mergeCell ref="A1:H1"/>
    <mergeCell ref="C2:D2"/>
    <mergeCell ref="A3:A19"/>
    <mergeCell ref="B3:B9"/>
    <mergeCell ref="C8:G8"/>
    <mergeCell ref="C9:G9"/>
    <mergeCell ref="B10:B19"/>
    <mergeCell ref="C18:G18"/>
    <mergeCell ref="C19:G19"/>
    <mergeCell ref="A20:G20"/>
    <mergeCell ref="A21:A25"/>
    <mergeCell ref="B21:B25"/>
    <mergeCell ref="C25:G25"/>
    <mergeCell ref="A26:G26"/>
  </mergeCells>
  <pageMargins left="0.511811023622047" right="0.511811023622047" top="0.78740157480314898" bottom="0.78740157480314898" header="0.511811023622047" footer="0.51181102362204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W78"/>
  <sheetViews>
    <sheetView workbookViewId="0"/>
  </sheetViews>
  <sheetFormatPr defaultRowHeight="15"/>
  <cols>
    <col min="1" max="1" width="15.28515625" style="40" customWidth="1"/>
    <col min="2" max="2" width="13.7109375" style="92" customWidth="1"/>
    <col min="3" max="3" width="65.42578125" style="40" customWidth="1"/>
    <col min="4" max="4" width="20.7109375" style="92" customWidth="1"/>
    <col min="5" max="9" width="21.7109375" style="93" customWidth="1"/>
    <col min="10" max="10" width="19.140625" style="92" customWidth="1"/>
    <col min="11" max="11" width="12.85546875" style="40" customWidth="1"/>
    <col min="12" max="12" width="11.7109375" style="40" customWidth="1"/>
    <col min="13" max="13" width="14.85546875" style="40" customWidth="1"/>
    <col min="14" max="14" width="16" style="40" customWidth="1"/>
    <col min="15" max="15" width="19.85546875" style="40" customWidth="1"/>
    <col min="16" max="16" width="16.28515625" style="40" customWidth="1"/>
    <col min="17" max="21" width="11.7109375" style="40" customWidth="1"/>
    <col min="22" max="22" width="25.5703125" style="40" customWidth="1"/>
    <col min="23" max="257" width="11.7109375" style="40" customWidth="1"/>
    <col min="258" max="1024" width="11.42578125" customWidth="1"/>
    <col min="1025" max="1025" width="9.140625" customWidth="1"/>
  </cols>
  <sheetData>
    <row r="1" spans="1:16" ht="48" customHeight="1">
      <c r="A1" s="37" t="s">
        <v>170</v>
      </c>
      <c r="B1" s="38" t="s">
        <v>44</v>
      </c>
      <c r="C1" s="38" t="s">
        <v>160</v>
      </c>
      <c r="D1" s="37" t="s">
        <v>45</v>
      </c>
      <c r="E1" s="39" t="s">
        <v>192</v>
      </c>
      <c r="F1" s="37" t="s">
        <v>193</v>
      </c>
      <c r="G1" s="37" t="s">
        <v>194</v>
      </c>
      <c r="H1" s="37" t="s">
        <v>195</v>
      </c>
      <c r="I1" s="37" t="s">
        <v>196</v>
      </c>
      <c r="J1" s="37" t="s">
        <v>197</v>
      </c>
      <c r="M1" s="41" t="s">
        <v>44</v>
      </c>
      <c r="N1" s="41" t="s">
        <v>192</v>
      </c>
      <c r="O1" s="41" t="s">
        <v>198</v>
      </c>
      <c r="P1" s="41" t="s">
        <v>197</v>
      </c>
    </row>
    <row r="2" spans="1:16" ht="15" customHeight="1">
      <c r="A2" s="42" t="s">
        <v>199</v>
      </c>
      <c r="B2" s="42" t="s">
        <v>47</v>
      </c>
      <c r="C2" s="43" t="s">
        <v>200</v>
      </c>
      <c r="D2" s="44">
        <f>202.3+135.88+221.1+81.81+16.5+221.88+74+1124.86+488.98+280.42-127.7</f>
        <v>2720.03</v>
      </c>
      <c r="E2" s="45">
        <v>800</v>
      </c>
      <c r="F2" s="46">
        <f t="shared" ref="F2:F13" si="0">D2/E2</f>
        <v>3.4000375000000003</v>
      </c>
      <c r="G2" s="748">
        <f>SUM(F2:F6)</f>
        <v>4.8111630555555562</v>
      </c>
      <c r="H2" s="748">
        <f>SUM(G2:G15)</f>
        <v>10.008724925925929</v>
      </c>
      <c r="I2" s="748">
        <v>10</v>
      </c>
      <c r="J2" s="47" t="s">
        <v>46</v>
      </c>
      <c r="M2" s="42" t="s">
        <v>47</v>
      </c>
      <c r="N2" s="48">
        <v>360</v>
      </c>
      <c r="O2" s="42">
        <v>212.21</v>
      </c>
      <c r="P2" s="42" t="s">
        <v>46</v>
      </c>
    </row>
    <row r="3" spans="1:16" ht="15" customHeight="1">
      <c r="A3" s="42" t="s">
        <v>199</v>
      </c>
      <c r="B3" s="42" t="s">
        <v>47</v>
      </c>
      <c r="C3" s="43" t="s">
        <v>201</v>
      </c>
      <c r="D3" s="44">
        <v>127.7</v>
      </c>
      <c r="E3" s="45">
        <v>200</v>
      </c>
      <c r="F3" s="46">
        <f t="shared" si="0"/>
        <v>0.63850000000000007</v>
      </c>
      <c r="G3" s="748"/>
      <c r="H3" s="748"/>
      <c r="I3" s="748"/>
      <c r="J3" s="47" t="s">
        <v>46</v>
      </c>
      <c r="M3" s="42" t="s">
        <v>47</v>
      </c>
      <c r="N3" s="48">
        <v>800</v>
      </c>
      <c r="O3" s="42">
        <v>3984.87</v>
      </c>
      <c r="P3" s="42" t="s">
        <v>46</v>
      </c>
    </row>
    <row r="4" spans="1:16" ht="12" customHeight="1">
      <c r="A4" s="42" t="s">
        <v>199</v>
      </c>
      <c r="B4" s="42" t="s">
        <v>47</v>
      </c>
      <c r="C4" s="43" t="s">
        <v>202</v>
      </c>
      <c r="D4" s="44">
        <v>212.21</v>
      </c>
      <c r="E4" s="45">
        <v>360</v>
      </c>
      <c r="F4" s="46">
        <f t="shared" si="0"/>
        <v>0.58947222222222229</v>
      </c>
      <c r="G4" s="748"/>
      <c r="H4" s="748"/>
      <c r="I4" s="748"/>
      <c r="J4" s="47" t="s">
        <v>46</v>
      </c>
      <c r="K4" s="49"/>
      <c r="M4" s="42" t="s">
        <v>47</v>
      </c>
      <c r="N4" s="48">
        <v>1000</v>
      </c>
      <c r="O4" s="42">
        <v>199.92</v>
      </c>
      <c r="P4" s="42" t="s">
        <v>46</v>
      </c>
    </row>
    <row r="5" spans="1:16" ht="12" customHeight="1">
      <c r="A5" s="42" t="s">
        <v>199</v>
      </c>
      <c r="B5" s="42" t="s">
        <v>47</v>
      </c>
      <c r="C5" s="43" t="s">
        <v>203</v>
      </c>
      <c r="D5" s="44">
        <v>50.75</v>
      </c>
      <c r="E5" s="45">
        <v>1500</v>
      </c>
      <c r="F5" s="46">
        <f t="shared" si="0"/>
        <v>3.3833333333333333E-2</v>
      </c>
      <c r="G5" s="748"/>
      <c r="H5" s="748"/>
      <c r="I5" s="748"/>
      <c r="J5" s="47" t="s">
        <v>46</v>
      </c>
      <c r="K5" s="49"/>
      <c r="M5" s="42" t="s">
        <v>47</v>
      </c>
      <c r="N5" s="48">
        <v>1500</v>
      </c>
      <c r="O5" s="42">
        <v>112.75</v>
      </c>
      <c r="P5" s="42" t="s">
        <v>46</v>
      </c>
    </row>
    <row r="6" spans="1:16" ht="13.5" customHeight="1">
      <c r="A6" s="42" t="s">
        <v>199</v>
      </c>
      <c r="B6" s="42" t="s">
        <v>47</v>
      </c>
      <c r="C6" s="43" t="s">
        <v>204</v>
      </c>
      <c r="D6" s="44">
        <v>149.32</v>
      </c>
      <c r="E6" s="45">
        <v>1000</v>
      </c>
      <c r="F6" s="46">
        <f t="shared" si="0"/>
        <v>0.14931999999999998</v>
      </c>
      <c r="G6" s="748"/>
      <c r="H6" s="748"/>
      <c r="I6" s="748"/>
      <c r="J6" s="47" t="s">
        <v>46</v>
      </c>
      <c r="K6" s="49"/>
      <c r="M6" s="42" t="s">
        <v>48</v>
      </c>
      <c r="N6" s="48">
        <v>1800</v>
      </c>
      <c r="O6" s="42">
        <v>3199.82</v>
      </c>
      <c r="P6" s="42" t="s">
        <v>46</v>
      </c>
    </row>
    <row r="7" spans="1:16" ht="12" customHeight="1">
      <c r="A7" s="42" t="s">
        <v>199</v>
      </c>
      <c r="B7" s="42" t="s">
        <v>48</v>
      </c>
      <c r="C7" s="43" t="s">
        <v>205</v>
      </c>
      <c r="D7" s="50">
        <v>574.62</v>
      </c>
      <c r="E7" s="45">
        <v>1800</v>
      </c>
      <c r="F7" s="45">
        <f t="shared" si="0"/>
        <v>0.31923333333333331</v>
      </c>
      <c r="G7" s="748">
        <f>SUM(F7:F13)</f>
        <v>4.9204311703703709</v>
      </c>
      <c r="H7" s="748"/>
      <c r="I7" s="748"/>
      <c r="J7" s="47" t="s">
        <v>46</v>
      </c>
      <c r="K7" s="49"/>
      <c r="M7" s="42" t="s">
        <v>48</v>
      </c>
      <c r="N7" s="51">
        <v>2700</v>
      </c>
      <c r="O7" s="42">
        <v>6205.93</v>
      </c>
      <c r="P7" s="42" t="s">
        <v>46</v>
      </c>
    </row>
    <row r="8" spans="1:16" ht="36" customHeight="1">
      <c r="A8" s="42" t="s">
        <v>199</v>
      </c>
      <c r="B8" s="42" t="s">
        <v>48</v>
      </c>
      <c r="C8" s="43" t="s">
        <v>206</v>
      </c>
      <c r="D8" s="50">
        <v>14581.2</v>
      </c>
      <c r="E8" s="52">
        <v>6000</v>
      </c>
      <c r="F8" s="45">
        <f t="shared" si="0"/>
        <v>2.4302000000000001</v>
      </c>
      <c r="G8" s="748"/>
      <c r="H8" s="748"/>
      <c r="I8" s="748"/>
      <c r="J8" s="47" t="s">
        <v>46</v>
      </c>
      <c r="K8" s="49"/>
      <c r="M8" s="42" t="s">
        <v>48</v>
      </c>
      <c r="N8" s="51">
        <v>6000</v>
      </c>
      <c r="O8" s="42">
        <v>15225.85</v>
      </c>
      <c r="P8" s="42" t="s">
        <v>46</v>
      </c>
    </row>
    <row r="9" spans="1:16" ht="12" customHeight="1">
      <c r="A9" s="42" t="s">
        <v>199</v>
      </c>
      <c r="B9" s="42" t="s">
        <v>48</v>
      </c>
      <c r="C9" s="43" t="s">
        <v>207</v>
      </c>
      <c r="D9" s="50">
        <v>736</v>
      </c>
      <c r="E9" s="45">
        <v>1800</v>
      </c>
      <c r="F9" s="45">
        <f t="shared" si="0"/>
        <v>0.40888888888888891</v>
      </c>
      <c r="G9" s="748"/>
      <c r="H9" s="748"/>
      <c r="I9" s="748"/>
      <c r="J9" s="47" t="s">
        <v>46</v>
      </c>
      <c r="K9" s="49"/>
      <c r="M9" s="42" t="s">
        <v>48</v>
      </c>
      <c r="N9" s="51">
        <v>100000</v>
      </c>
      <c r="O9" s="42">
        <v>456.08</v>
      </c>
      <c r="P9" s="42" t="s">
        <v>46</v>
      </c>
    </row>
    <row r="10" spans="1:16" ht="24" customHeight="1">
      <c r="A10" s="42" t="s">
        <v>199</v>
      </c>
      <c r="B10" s="42" t="s">
        <v>48</v>
      </c>
      <c r="C10" s="43" t="s">
        <v>208</v>
      </c>
      <c r="D10" s="50">
        <v>336</v>
      </c>
      <c r="E10" s="45">
        <v>1800</v>
      </c>
      <c r="F10" s="45">
        <f t="shared" si="0"/>
        <v>0.18666666666666668</v>
      </c>
      <c r="G10" s="748"/>
      <c r="H10" s="748"/>
      <c r="I10" s="748"/>
      <c r="J10" s="47" t="s">
        <v>46</v>
      </c>
      <c r="K10" s="49"/>
      <c r="M10" s="42" t="s">
        <v>209</v>
      </c>
      <c r="N10" s="48">
        <v>300</v>
      </c>
      <c r="O10" s="42">
        <v>1300.18</v>
      </c>
      <c r="P10" s="42" t="s">
        <v>46</v>
      </c>
    </row>
    <row r="11" spans="1:16" ht="12" customHeight="1">
      <c r="A11" s="42" t="s">
        <v>199</v>
      </c>
      <c r="B11" s="42" t="s">
        <v>48</v>
      </c>
      <c r="C11" s="43" t="s">
        <v>210</v>
      </c>
      <c r="D11" s="50">
        <v>2981.38</v>
      </c>
      <c r="E11" s="45">
        <v>2700</v>
      </c>
      <c r="F11" s="45">
        <f t="shared" si="0"/>
        <v>1.1042148148148148</v>
      </c>
      <c r="G11" s="748"/>
      <c r="H11" s="748"/>
      <c r="I11" s="748"/>
      <c r="J11" s="47" t="s">
        <v>46</v>
      </c>
      <c r="K11" s="49"/>
      <c r="L11" s="53"/>
      <c r="M11" s="42" t="s">
        <v>47</v>
      </c>
      <c r="N11" s="48">
        <v>200</v>
      </c>
      <c r="O11" s="42">
        <v>189.71</v>
      </c>
      <c r="P11" s="42" t="s">
        <v>46</v>
      </c>
    </row>
    <row r="12" spans="1:16" ht="18.75" customHeight="1">
      <c r="A12" s="42" t="s">
        <v>199</v>
      </c>
      <c r="B12" s="42" t="s">
        <v>48</v>
      </c>
      <c r="C12" s="54" t="s">
        <v>211</v>
      </c>
      <c r="D12" s="50">
        <v>1260</v>
      </c>
      <c r="E12" s="52">
        <v>2700</v>
      </c>
      <c r="F12" s="45">
        <f t="shared" si="0"/>
        <v>0.46666666666666667</v>
      </c>
      <c r="G12" s="748"/>
      <c r="H12" s="748"/>
      <c r="I12" s="748"/>
      <c r="J12" s="47" t="s">
        <v>46</v>
      </c>
      <c r="K12" s="49"/>
      <c r="M12" s="753" t="s">
        <v>55</v>
      </c>
      <c r="N12" s="753"/>
      <c r="O12" s="55">
        <f>SUM(O2:O11)</f>
        <v>31087.32</v>
      </c>
      <c r="P12" s="45"/>
    </row>
    <row r="13" spans="1:16" ht="25.5" customHeight="1">
      <c r="A13" s="42" t="s">
        <v>199</v>
      </c>
      <c r="B13" s="42" t="s">
        <v>48</v>
      </c>
      <c r="C13" s="56" t="s">
        <v>212</v>
      </c>
      <c r="D13" s="50">
        <v>456.08</v>
      </c>
      <c r="E13" s="52">
        <v>100000</v>
      </c>
      <c r="F13" s="45">
        <f t="shared" si="0"/>
        <v>4.5608000000000003E-3</v>
      </c>
      <c r="G13" s="748"/>
      <c r="H13" s="748"/>
      <c r="I13" s="748"/>
      <c r="J13" s="47" t="s">
        <v>46</v>
      </c>
      <c r="K13" s="57"/>
      <c r="M13" s="58" t="s">
        <v>47</v>
      </c>
      <c r="N13" s="59">
        <v>800</v>
      </c>
      <c r="O13" s="60">
        <f>2355.43-46</f>
        <v>2309.4299999999998</v>
      </c>
      <c r="P13" s="58" t="s">
        <v>50</v>
      </c>
    </row>
    <row r="14" spans="1:16" ht="24.75" customHeight="1">
      <c r="A14" s="42" t="s">
        <v>199</v>
      </c>
      <c r="B14" s="42" t="s">
        <v>213</v>
      </c>
      <c r="C14" s="54" t="s">
        <v>214</v>
      </c>
      <c r="D14" s="61">
        <v>496.65</v>
      </c>
      <c r="E14" s="45">
        <v>300</v>
      </c>
      <c r="F14" s="62">
        <f>D14*0.000279</f>
        <v>0.13856535</v>
      </c>
      <c r="G14" s="748">
        <f>SUM(F14:F15)</f>
        <v>0.27713070000000001</v>
      </c>
      <c r="H14" s="748"/>
      <c r="I14" s="748"/>
      <c r="J14" s="47" t="s">
        <v>46</v>
      </c>
      <c r="K14" s="49"/>
      <c r="M14" s="58" t="s">
        <v>47</v>
      </c>
      <c r="N14" s="59">
        <v>1000</v>
      </c>
      <c r="O14" s="60">
        <v>65.69</v>
      </c>
      <c r="P14" s="58" t="s">
        <v>50</v>
      </c>
    </row>
    <row r="15" spans="1:16" ht="12" customHeight="1">
      <c r="A15" s="42" t="s">
        <v>199</v>
      </c>
      <c r="B15" s="42" t="s">
        <v>215</v>
      </c>
      <c r="C15" s="54" t="s">
        <v>214</v>
      </c>
      <c r="D15" s="61">
        <v>496.65</v>
      </c>
      <c r="E15" s="45">
        <v>300</v>
      </c>
      <c r="F15" s="62">
        <f>D15*0.000279</f>
        <v>0.13856535</v>
      </c>
      <c r="G15" s="748"/>
      <c r="H15" s="748"/>
      <c r="I15" s="748"/>
      <c r="J15" s="47" t="s">
        <v>46</v>
      </c>
      <c r="K15" s="49"/>
      <c r="M15" s="58" t="s">
        <v>47</v>
      </c>
      <c r="N15" s="59">
        <v>1500</v>
      </c>
      <c r="O15" s="60">
        <v>409.98</v>
      </c>
      <c r="P15" s="58" t="s">
        <v>50</v>
      </c>
    </row>
    <row r="16" spans="1:16" ht="12" customHeight="1">
      <c r="A16" s="63" t="s">
        <v>216</v>
      </c>
      <c r="B16" s="63" t="s">
        <v>47</v>
      </c>
      <c r="C16" s="64" t="s">
        <v>200</v>
      </c>
      <c r="D16" s="65">
        <f>390.7-D18</f>
        <v>372.4</v>
      </c>
      <c r="E16" s="41">
        <v>800</v>
      </c>
      <c r="F16" s="41">
        <f t="shared" ref="F16:F21" si="1">D16/E16</f>
        <v>0.46549999999999997</v>
      </c>
      <c r="G16" s="749">
        <f>SUM(F16:F17)</f>
        <v>0.46683333333333332</v>
      </c>
      <c r="H16" s="749">
        <f>SUM(G16:G23)</f>
        <v>0.68952881481481487</v>
      </c>
      <c r="I16" s="749">
        <v>1</v>
      </c>
      <c r="J16" s="63" t="s">
        <v>46</v>
      </c>
      <c r="K16" s="49"/>
      <c r="M16" s="58" t="s">
        <v>48</v>
      </c>
      <c r="N16" s="59">
        <v>1800</v>
      </c>
      <c r="O16" s="60">
        <v>2538</v>
      </c>
      <c r="P16" s="58" t="s">
        <v>50</v>
      </c>
    </row>
    <row r="17" spans="1:16" ht="13.5" customHeight="1">
      <c r="A17" s="63" t="s">
        <v>216</v>
      </c>
      <c r="B17" s="63" t="s">
        <v>47</v>
      </c>
      <c r="C17" s="64" t="s">
        <v>217</v>
      </c>
      <c r="D17" s="61">
        <v>2</v>
      </c>
      <c r="E17" s="41">
        <v>1500</v>
      </c>
      <c r="F17" s="41">
        <f t="shared" si="1"/>
        <v>1.3333333333333333E-3</v>
      </c>
      <c r="G17" s="749"/>
      <c r="H17" s="749"/>
      <c r="I17" s="749"/>
      <c r="J17" s="63" t="s">
        <v>46</v>
      </c>
      <c r="K17" s="49"/>
      <c r="M17" s="58" t="s">
        <v>48</v>
      </c>
      <c r="N17" s="66">
        <v>2700</v>
      </c>
      <c r="O17" s="60">
        <v>3418.44</v>
      </c>
      <c r="P17" s="58" t="s">
        <v>50</v>
      </c>
    </row>
    <row r="18" spans="1:16" ht="13.5" customHeight="1">
      <c r="A18" s="63" t="s">
        <v>216</v>
      </c>
      <c r="B18" s="63" t="s">
        <v>47</v>
      </c>
      <c r="C18" s="64" t="s">
        <v>218</v>
      </c>
      <c r="D18" s="61">
        <f>18.3</f>
        <v>18.3</v>
      </c>
      <c r="E18" s="41">
        <v>200</v>
      </c>
      <c r="F18" s="41">
        <f t="shared" si="1"/>
        <v>9.1499999999999998E-2</v>
      </c>
      <c r="G18" s="67">
        <f>F18</f>
        <v>9.1499999999999998E-2</v>
      </c>
      <c r="H18" s="749"/>
      <c r="I18" s="749"/>
      <c r="J18" s="63" t="s">
        <v>46</v>
      </c>
      <c r="K18" s="49"/>
      <c r="M18" s="58"/>
      <c r="N18" s="66"/>
      <c r="O18" s="60"/>
      <c r="P18" s="58"/>
    </row>
    <row r="19" spans="1:16" ht="12" customHeight="1">
      <c r="A19" s="63" t="s">
        <v>216</v>
      </c>
      <c r="B19" s="63" t="s">
        <v>48</v>
      </c>
      <c r="C19" s="68" t="s">
        <v>205</v>
      </c>
      <c r="D19" s="69">
        <v>180.45</v>
      </c>
      <c r="E19" s="41">
        <v>1800</v>
      </c>
      <c r="F19" s="41">
        <f t="shared" si="1"/>
        <v>0.10024999999999999</v>
      </c>
      <c r="G19" s="749">
        <f>SUM(F19:F21)</f>
        <v>0.12673148148148147</v>
      </c>
      <c r="H19" s="749"/>
      <c r="I19" s="749"/>
      <c r="J19" s="63" t="s">
        <v>46</v>
      </c>
      <c r="K19" s="49"/>
      <c r="M19" s="58" t="s">
        <v>48</v>
      </c>
      <c r="N19" s="66">
        <v>6000</v>
      </c>
      <c r="O19" s="60">
        <v>3822.17</v>
      </c>
      <c r="P19" s="58" t="s">
        <v>50</v>
      </c>
    </row>
    <row r="20" spans="1:16" ht="36" customHeight="1">
      <c r="A20" s="63" t="s">
        <v>216</v>
      </c>
      <c r="B20" s="63" t="s">
        <v>48</v>
      </c>
      <c r="C20" s="64" t="s">
        <v>206</v>
      </c>
      <c r="D20" s="61">
        <v>50</v>
      </c>
      <c r="E20" s="70">
        <v>6000</v>
      </c>
      <c r="F20" s="41">
        <f t="shared" si="1"/>
        <v>8.3333333333333332E-3</v>
      </c>
      <c r="G20" s="749"/>
      <c r="H20" s="749"/>
      <c r="I20" s="749"/>
      <c r="J20" s="63" t="s">
        <v>46</v>
      </c>
      <c r="K20" s="49"/>
      <c r="M20" s="58" t="s">
        <v>48</v>
      </c>
      <c r="N20" s="66">
        <v>100000</v>
      </c>
      <c r="O20" s="60">
        <v>1751</v>
      </c>
      <c r="P20" s="58" t="s">
        <v>50</v>
      </c>
    </row>
    <row r="21" spans="1:16" ht="12" customHeight="1">
      <c r="A21" s="63" t="s">
        <v>216</v>
      </c>
      <c r="B21" s="63" t="s">
        <v>48</v>
      </c>
      <c r="C21" s="64" t="s">
        <v>219</v>
      </c>
      <c r="D21" s="61">
        <v>49</v>
      </c>
      <c r="E21" s="41">
        <v>2700</v>
      </c>
      <c r="F21" s="41">
        <f t="shared" si="1"/>
        <v>1.8148148148148149E-2</v>
      </c>
      <c r="G21" s="749"/>
      <c r="H21" s="749"/>
      <c r="I21" s="749"/>
      <c r="J21" s="63" t="s">
        <v>46</v>
      </c>
      <c r="K21" s="49"/>
      <c r="M21" s="71" t="s">
        <v>209</v>
      </c>
      <c r="N21" s="72">
        <v>300</v>
      </c>
      <c r="O21" s="73">
        <v>553.38</v>
      </c>
      <c r="P21" s="71" t="s">
        <v>50</v>
      </c>
    </row>
    <row r="22" spans="1:16" ht="18" customHeight="1">
      <c r="A22" s="63" t="s">
        <v>216</v>
      </c>
      <c r="B22" s="63" t="s">
        <v>213</v>
      </c>
      <c r="C22" s="68" t="s">
        <v>220</v>
      </c>
      <c r="D22" s="61">
        <v>8</v>
      </c>
      <c r="E22" s="41">
        <v>300</v>
      </c>
      <c r="F22" s="41">
        <f>D22*0.000279</f>
        <v>2.232E-3</v>
      </c>
      <c r="G22" s="749">
        <f>SUM(F22:F23)</f>
        <v>4.4640000000000001E-3</v>
      </c>
      <c r="H22" s="749"/>
      <c r="I22" s="749"/>
      <c r="J22" s="63" t="s">
        <v>46</v>
      </c>
      <c r="K22" s="49"/>
      <c r="M22" s="71" t="s">
        <v>47</v>
      </c>
      <c r="N22" s="72">
        <v>200</v>
      </c>
      <c r="O22" s="73">
        <v>87.02</v>
      </c>
      <c r="P22" s="71" t="s">
        <v>50</v>
      </c>
    </row>
    <row r="23" spans="1:16" ht="17.25" customHeight="1">
      <c r="A23" s="63" t="s">
        <v>216</v>
      </c>
      <c r="B23" s="63" t="s">
        <v>215</v>
      </c>
      <c r="C23" s="68" t="s">
        <v>221</v>
      </c>
      <c r="D23" s="61">
        <v>8</v>
      </c>
      <c r="E23" s="41">
        <v>300</v>
      </c>
      <c r="F23" s="41">
        <f>D23*0.000279</f>
        <v>2.232E-3</v>
      </c>
      <c r="G23" s="749"/>
      <c r="H23" s="749"/>
      <c r="I23" s="749"/>
      <c r="J23" s="63" t="s">
        <v>46</v>
      </c>
      <c r="K23" s="49"/>
      <c r="M23" s="752" t="s">
        <v>55</v>
      </c>
      <c r="N23" s="752"/>
      <c r="O23" s="74">
        <f>SUM(O13:O22)</f>
        <v>14955.11</v>
      </c>
      <c r="P23" s="63"/>
    </row>
    <row r="24" spans="1:16" ht="12" customHeight="1">
      <c r="A24" s="42" t="s">
        <v>222</v>
      </c>
      <c r="B24" s="42" t="s">
        <v>47</v>
      </c>
      <c r="C24" s="43" t="s">
        <v>200</v>
      </c>
      <c r="D24" s="46">
        <f>482.58-46</f>
        <v>436.58</v>
      </c>
      <c r="E24" s="45">
        <v>800</v>
      </c>
      <c r="F24" s="45">
        <f t="shared" ref="F24:F30" si="2">D24/E24</f>
        <v>0.54572500000000002</v>
      </c>
      <c r="G24" s="748">
        <f>SUM(F24:F27)</f>
        <v>1.0594016666666666</v>
      </c>
      <c r="H24" s="748">
        <f>SUM(G24:G32)</f>
        <v>1.4095405733333333</v>
      </c>
      <c r="I24" s="748">
        <v>2</v>
      </c>
      <c r="J24" s="47" t="s">
        <v>50</v>
      </c>
      <c r="K24" s="49"/>
      <c r="M24" s="75" t="s">
        <v>223</v>
      </c>
      <c r="N24" s="63"/>
      <c r="O24" s="74">
        <f>O12+O23</f>
        <v>46042.43</v>
      </c>
      <c r="P24" s="63"/>
    </row>
    <row r="25" spans="1:16" ht="12" customHeight="1">
      <c r="A25" s="42" t="s">
        <v>222</v>
      </c>
      <c r="B25" s="42" t="s">
        <v>47</v>
      </c>
      <c r="C25" s="43" t="s">
        <v>224</v>
      </c>
      <c r="D25" s="46">
        <v>46</v>
      </c>
      <c r="E25" s="45">
        <v>200</v>
      </c>
      <c r="F25" s="45">
        <f t="shared" si="2"/>
        <v>0.23</v>
      </c>
      <c r="G25" s="748"/>
      <c r="H25" s="748"/>
      <c r="I25" s="748"/>
      <c r="J25" s="47" t="s">
        <v>50</v>
      </c>
      <c r="K25" s="49"/>
      <c r="M25" s="76"/>
      <c r="N25" s="77"/>
      <c r="O25" s="78"/>
      <c r="P25" s="77"/>
    </row>
    <row r="26" spans="1:16" ht="12" customHeight="1">
      <c r="A26" s="42" t="s">
        <v>222</v>
      </c>
      <c r="B26" s="42" t="s">
        <v>47</v>
      </c>
      <c r="C26" s="43" t="s">
        <v>225</v>
      </c>
      <c r="D26" s="46">
        <v>326.98</v>
      </c>
      <c r="E26" s="45">
        <v>1500</v>
      </c>
      <c r="F26" s="45">
        <f t="shared" si="2"/>
        <v>0.21798666666666669</v>
      </c>
      <c r="G26" s="748"/>
      <c r="H26" s="748"/>
      <c r="I26" s="748"/>
      <c r="J26" s="47" t="s">
        <v>50</v>
      </c>
      <c r="K26" s="49"/>
      <c r="M26" s="750"/>
      <c r="N26" s="750"/>
      <c r="O26" s="750"/>
      <c r="P26" s="750"/>
    </row>
    <row r="27" spans="1:16" ht="12" customHeight="1">
      <c r="A27" s="42" t="s">
        <v>222</v>
      </c>
      <c r="B27" s="42" t="s">
        <v>47</v>
      </c>
      <c r="C27" s="43" t="s">
        <v>226</v>
      </c>
      <c r="D27" s="46">
        <v>65.69</v>
      </c>
      <c r="E27" s="45">
        <v>1000</v>
      </c>
      <c r="F27" s="45">
        <f t="shared" si="2"/>
        <v>6.5689999999999998E-2</v>
      </c>
      <c r="G27" s="748"/>
      <c r="H27" s="748"/>
      <c r="I27" s="748"/>
      <c r="J27" s="47" t="s">
        <v>50</v>
      </c>
      <c r="K27" s="49"/>
    </row>
    <row r="28" spans="1:16" ht="12" customHeight="1">
      <c r="A28" s="42" t="s">
        <v>222</v>
      </c>
      <c r="B28" s="42" t="s">
        <v>48</v>
      </c>
      <c r="C28" s="43" t="s">
        <v>205</v>
      </c>
      <c r="D28" s="79">
        <v>67.900000000000006</v>
      </c>
      <c r="E28" s="45">
        <v>1800</v>
      </c>
      <c r="F28" s="45">
        <f t="shared" si="2"/>
        <v>3.7722222222222226E-2</v>
      </c>
      <c r="G28" s="748">
        <f>SUM(F28:F30)</f>
        <v>0.2888816666666667</v>
      </c>
      <c r="H28" s="748"/>
      <c r="I28" s="748"/>
      <c r="J28" s="47" t="s">
        <v>50</v>
      </c>
      <c r="K28" s="49"/>
      <c r="M28" s="751"/>
      <c r="N28" s="751"/>
      <c r="O28" s="751"/>
      <c r="P28" s="751"/>
    </row>
    <row r="29" spans="1:16" ht="36" customHeight="1">
      <c r="A29" s="42" t="s">
        <v>222</v>
      </c>
      <c r="B29" s="42" t="s">
        <v>48</v>
      </c>
      <c r="C29" s="43" t="s">
        <v>206</v>
      </c>
      <c r="D29" s="45">
        <v>164.49</v>
      </c>
      <c r="E29" s="52">
        <v>6000</v>
      </c>
      <c r="F29" s="45">
        <f t="shared" si="2"/>
        <v>2.7415000000000002E-2</v>
      </c>
      <c r="G29" s="748"/>
      <c r="H29" s="748"/>
      <c r="I29" s="748"/>
      <c r="J29" s="47" t="s">
        <v>50</v>
      </c>
      <c r="K29" s="49"/>
      <c r="M29" s="751"/>
      <c r="N29" s="751"/>
      <c r="O29" s="751"/>
      <c r="P29" s="751"/>
    </row>
    <row r="30" spans="1:16" ht="24" customHeight="1">
      <c r="A30" s="42" t="s">
        <v>222</v>
      </c>
      <c r="B30" s="42" t="s">
        <v>48</v>
      </c>
      <c r="C30" s="43" t="s">
        <v>227</v>
      </c>
      <c r="D30" s="45">
        <v>402.74</v>
      </c>
      <c r="E30" s="45">
        <v>1800</v>
      </c>
      <c r="F30" s="45">
        <f t="shared" si="2"/>
        <v>0.22374444444444444</v>
      </c>
      <c r="G30" s="748"/>
      <c r="H30" s="748"/>
      <c r="I30" s="748"/>
      <c r="J30" s="47" t="s">
        <v>50</v>
      </c>
      <c r="K30" s="49"/>
      <c r="M30" s="751"/>
      <c r="N30" s="751"/>
      <c r="O30" s="751"/>
      <c r="P30" s="751"/>
    </row>
    <row r="31" spans="1:16" ht="12" customHeight="1">
      <c r="A31" s="42" t="s">
        <v>222</v>
      </c>
      <c r="B31" s="42" t="s">
        <v>213</v>
      </c>
      <c r="C31" s="54" t="s">
        <v>220</v>
      </c>
      <c r="D31" s="62">
        <v>109.78</v>
      </c>
      <c r="E31" s="45">
        <v>300</v>
      </c>
      <c r="F31" s="45">
        <f>D31*0.000279</f>
        <v>3.0628620000000002E-2</v>
      </c>
      <c r="G31" s="748">
        <f>SUM(F31:F32)</f>
        <v>6.1257240000000004E-2</v>
      </c>
      <c r="H31" s="748"/>
      <c r="I31" s="748"/>
      <c r="J31" s="47" t="s">
        <v>50</v>
      </c>
      <c r="K31" s="49"/>
    </row>
    <row r="32" spans="1:16" ht="12" customHeight="1">
      <c r="A32" s="42" t="s">
        <v>222</v>
      </c>
      <c r="B32" s="42" t="s">
        <v>215</v>
      </c>
      <c r="C32" s="54" t="s">
        <v>221</v>
      </c>
      <c r="D32" s="62">
        <v>109.78</v>
      </c>
      <c r="E32" s="45">
        <v>300</v>
      </c>
      <c r="F32" s="45">
        <f>D32*0.000279</f>
        <v>3.0628620000000002E-2</v>
      </c>
      <c r="G32" s="748"/>
      <c r="H32" s="748"/>
      <c r="I32" s="748"/>
      <c r="J32" s="47" t="s">
        <v>50</v>
      </c>
      <c r="K32" s="49"/>
    </row>
    <row r="33" spans="1:15" ht="12" customHeight="1">
      <c r="A33" s="63" t="s">
        <v>228</v>
      </c>
      <c r="B33" s="63" t="s">
        <v>47</v>
      </c>
      <c r="C33" s="64" t="s">
        <v>200</v>
      </c>
      <c r="D33" s="46">
        <v>200.09</v>
      </c>
      <c r="E33" s="41">
        <v>800</v>
      </c>
      <c r="F33" s="41">
        <f>D33/E33</f>
        <v>0.25011250000000002</v>
      </c>
      <c r="G33" s="41">
        <f>SUM(F33)</f>
        <v>0.25011250000000002</v>
      </c>
      <c r="H33" s="749">
        <f>SUM(G33:G36)</f>
        <v>0.69204382222222227</v>
      </c>
      <c r="I33" s="749">
        <v>1</v>
      </c>
      <c r="J33" s="63" t="s">
        <v>50</v>
      </c>
      <c r="K33" s="49"/>
      <c r="O33" s="53"/>
    </row>
    <row r="34" spans="1:15" ht="12" customHeight="1">
      <c r="A34" s="63" t="s">
        <v>228</v>
      </c>
      <c r="B34" s="63" t="s">
        <v>48</v>
      </c>
      <c r="C34" s="68" t="s">
        <v>229</v>
      </c>
      <c r="D34" s="69">
        <v>743.8</v>
      </c>
      <c r="E34" s="41">
        <v>1800</v>
      </c>
      <c r="F34" s="41">
        <f>D34/E34</f>
        <v>0.41322222222222221</v>
      </c>
      <c r="G34" s="41">
        <f>SUM(F34)</f>
        <v>0.41322222222222221</v>
      </c>
      <c r="H34" s="749"/>
      <c r="I34" s="749"/>
      <c r="J34" s="63" t="s">
        <v>50</v>
      </c>
      <c r="K34" s="49"/>
      <c r="O34" s="53"/>
    </row>
    <row r="35" spans="1:15" ht="12" customHeight="1">
      <c r="A35" s="63" t="s">
        <v>228</v>
      </c>
      <c r="B35" s="63" t="s">
        <v>213</v>
      </c>
      <c r="C35" s="68" t="s">
        <v>220</v>
      </c>
      <c r="D35" s="62">
        <v>51.45</v>
      </c>
      <c r="E35" s="41">
        <v>300</v>
      </c>
      <c r="F35" s="41">
        <f>D35*0.000279</f>
        <v>1.4354550000000001E-2</v>
      </c>
      <c r="G35" s="749">
        <f>SUM(F35:F36)</f>
        <v>2.8709100000000001E-2</v>
      </c>
      <c r="H35" s="749"/>
      <c r="I35" s="749"/>
      <c r="J35" s="63" t="s">
        <v>50</v>
      </c>
      <c r="K35" s="49"/>
    </row>
    <row r="36" spans="1:15" ht="14.25" customHeight="1">
      <c r="A36" s="63" t="s">
        <v>228</v>
      </c>
      <c r="B36" s="63" t="s">
        <v>215</v>
      </c>
      <c r="C36" s="68" t="s">
        <v>221</v>
      </c>
      <c r="D36" s="62">
        <v>51.45</v>
      </c>
      <c r="E36" s="41">
        <v>300</v>
      </c>
      <c r="F36" s="41">
        <f>D36*0.000279</f>
        <v>1.4354550000000001E-2</v>
      </c>
      <c r="G36" s="749"/>
      <c r="H36" s="749"/>
      <c r="I36" s="749"/>
      <c r="J36" s="63" t="s">
        <v>50</v>
      </c>
      <c r="K36" s="49"/>
      <c r="N36" s="53"/>
    </row>
    <row r="37" spans="1:15" ht="12" customHeight="1">
      <c r="A37" s="42" t="s">
        <v>230</v>
      </c>
      <c r="B37" s="42" t="s">
        <v>47</v>
      </c>
      <c r="C37" s="43" t="s">
        <v>200</v>
      </c>
      <c r="D37" s="46">
        <f>936.15-43.71</f>
        <v>892.43999999999994</v>
      </c>
      <c r="E37" s="45">
        <v>800</v>
      </c>
      <c r="F37" s="45">
        <f t="shared" ref="F37:F46" si="3">D37/E37</f>
        <v>1.1155499999999998</v>
      </c>
      <c r="G37" s="748">
        <f>SUM(F37:F40)</f>
        <v>1.4246999999999999</v>
      </c>
      <c r="H37" s="748">
        <f>SUM(G37:G48)</f>
        <v>3.0770657051851846</v>
      </c>
      <c r="I37" s="748">
        <v>3</v>
      </c>
      <c r="J37" s="47" t="s">
        <v>46</v>
      </c>
      <c r="K37" s="49"/>
    </row>
    <row r="38" spans="1:15" ht="12" customHeight="1">
      <c r="A38" s="42" t="s">
        <v>230</v>
      </c>
      <c r="B38" s="42" t="s">
        <v>47</v>
      </c>
      <c r="C38" s="43" t="s">
        <v>201</v>
      </c>
      <c r="D38" s="46">
        <v>43.71</v>
      </c>
      <c r="E38" s="45">
        <v>200</v>
      </c>
      <c r="F38" s="45">
        <f t="shared" si="3"/>
        <v>0.21854999999999999</v>
      </c>
      <c r="G38" s="748"/>
      <c r="H38" s="748"/>
      <c r="I38" s="748"/>
      <c r="J38" s="47" t="s">
        <v>46</v>
      </c>
      <c r="K38" s="49"/>
    </row>
    <row r="39" spans="1:15" ht="12" customHeight="1">
      <c r="A39" s="42" t="s">
        <v>230</v>
      </c>
      <c r="B39" s="42" t="s">
        <v>47</v>
      </c>
      <c r="C39" s="43" t="s">
        <v>225</v>
      </c>
      <c r="D39" s="46">
        <v>60</v>
      </c>
      <c r="E39" s="45">
        <v>1500</v>
      </c>
      <c r="F39" s="45">
        <f t="shared" si="3"/>
        <v>0.04</v>
      </c>
      <c r="G39" s="748"/>
      <c r="H39" s="748"/>
      <c r="I39" s="748"/>
      <c r="J39" s="47" t="s">
        <v>46</v>
      </c>
      <c r="K39" s="49"/>
      <c r="O39" s="80"/>
    </row>
    <row r="40" spans="1:15" ht="12" customHeight="1">
      <c r="A40" s="42" t="s">
        <v>230</v>
      </c>
      <c r="B40" s="42" t="s">
        <v>47</v>
      </c>
      <c r="C40" s="43" t="s">
        <v>226</v>
      </c>
      <c r="D40" s="46">
        <v>50.6</v>
      </c>
      <c r="E40" s="45">
        <v>1000</v>
      </c>
      <c r="F40" s="45">
        <f t="shared" si="3"/>
        <v>5.0599999999999999E-2</v>
      </c>
      <c r="G40" s="748"/>
      <c r="H40" s="748"/>
      <c r="I40" s="748"/>
      <c r="J40" s="47" t="s">
        <v>46</v>
      </c>
      <c r="K40" s="49"/>
      <c r="O40" s="81"/>
    </row>
    <row r="41" spans="1:15" ht="12" customHeight="1">
      <c r="A41" s="42" t="s">
        <v>230</v>
      </c>
      <c r="B41" s="42" t="s">
        <v>48</v>
      </c>
      <c r="C41" s="43" t="s">
        <v>205</v>
      </c>
      <c r="D41" s="45">
        <v>782.15</v>
      </c>
      <c r="E41" s="45">
        <v>1800</v>
      </c>
      <c r="F41" s="45">
        <f t="shared" si="3"/>
        <v>0.43452777777777779</v>
      </c>
      <c r="G41" s="748">
        <f>SUM(F41:F46)</f>
        <v>1.5712101851851852</v>
      </c>
      <c r="H41" s="748"/>
      <c r="I41" s="748"/>
      <c r="J41" s="47" t="s">
        <v>46</v>
      </c>
      <c r="K41" s="49"/>
    </row>
    <row r="42" spans="1:15" ht="36" customHeight="1">
      <c r="A42" s="42" t="s">
        <v>230</v>
      </c>
      <c r="B42" s="42" t="s">
        <v>48</v>
      </c>
      <c r="C42" s="43" t="s">
        <v>206</v>
      </c>
      <c r="D42" s="45">
        <v>594.65</v>
      </c>
      <c r="E42" s="52">
        <v>6000</v>
      </c>
      <c r="F42" s="45">
        <f t="shared" si="3"/>
        <v>9.9108333333333326E-2</v>
      </c>
      <c r="G42" s="748"/>
      <c r="H42" s="748"/>
      <c r="I42" s="748"/>
      <c r="J42" s="47" t="s">
        <v>46</v>
      </c>
      <c r="K42" s="49"/>
      <c r="N42" s="82"/>
      <c r="O42" s="83"/>
    </row>
    <row r="43" spans="1:15" ht="24" customHeight="1">
      <c r="A43" s="42" t="s">
        <v>230</v>
      </c>
      <c r="B43" s="42" t="s">
        <v>48</v>
      </c>
      <c r="C43" s="43" t="s">
        <v>227</v>
      </c>
      <c r="D43" s="45">
        <v>285</v>
      </c>
      <c r="E43" s="45">
        <v>1800</v>
      </c>
      <c r="F43" s="45">
        <f t="shared" si="3"/>
        <v>0.15833333333333333</v>
      </c>
      <c r="G43" s="748"/>
      <c r="H43" s="748"/>
      <c r="I43" s="748"/>
      <c r="J43" s="47" t="s">
        <v>46</v>
      </c>
      <c r="K43" s="49"/>
    </row>
    <row r="44" spans="1:15" ht="12" customHeight="1">
      <c r="A44" s="42" t="s">
        <v>230</v>
      </c>
      <c r="B44" s="42" t="s">
        <v>48</v>
      </c>
      <c r="C44" s="43" t="s">
        <v>208</v>
      </c>
      <c r="D44" s="45">
        <v>305.60000000000002</v>
      </c>
      <c r="E44" s="45">
        <v>1800</v>
      </c>
      <c r="F44" s="45">
        <f t="shared" si="3"/>
        <v>0.16977777777777778</v>
      </c>
      <c r="G44" s="748"/>
      <c r="H44" s="748"/>
      <c r="I44" s="748"/>
      <c r="J44" s="47" t="s">
        <v>46</v>
      </c>
      <c r="K44" s="49"/>
    </row>
    <row r="45" spans="1:15" ht="12" customHeight="1">
      <c r="A45" s="42" t="s">
        <v>230</v>
      </c>
      <c r="B45" s="42" t="s">
        <v>48</v>
      </c>
      <c r="C45" s="43" t="s">
        <v>210</v>
      </c>
      <c r="D45" s="45">
        <v>515.54999999999995</v>
      </c>
      <c r="E45" s="45">
        <v>2700</v>
      </c>
      <c r="F45" s="45">
        <f t="shared" si="3"/>
        <v>0.19094444444444442</v>
      </c>
      <c r="G45" s="748"/>
      <c r="H45" s="748"/>
      <c r="I45" s="748"/>
      <c r="J45" s="47" t="s">
        <v>46</v>
      </c>
      <c r="K45" s="49"/>
    </row>
    <row r="46" spans="1:15" ht="12" customHeight="1">
      <c r="A46" s="42" t="s">
        <v>230</v>
      </c>
      <c r="B46" s="42" t="s">
        <v>48</v>
      </c>
      <c r="C46" s="43" t="s">
        <v>211</v>
      </c>
      <c r="D46" s="52">
        <v>1400</v>
      </c>
      <c r="E46" s="52">
        <v>2700</v>
      </c>
      <c r="F46" s="45">
        <f t="shared" si="3"/>
        <v>0.51851851851851849</v>
      </c>
      <c r="G46" s="748"/>
      <c r="H46" s="748"/>
      <c r="I46" s="748"/>
      <c r="J46" s="47" t="s">
        <v>46</v>
      </c>
      <c r="K46" s="49"/>
    </row>
    <row r="47" spans="1:15" ht="12" customHeight="1">
      <c r="A47" s="42" t="s">
        <v>230</v>
      </c>
      <c r="B47" s="42" t="s">
        <v>213</v>
      </c>
      <c r="C47" s="54" t="s">
        <v>220</v>
      </c>
      <c r="D47" s="62">
        <v>145.44</v>
      </c>
      <c r="E47" s="45">
        <v>300</v>
      </c>
      <c r="F47" s="45">
        <f>D47*0.000279</f>
        <v>4.0577759999999997E-2</v>
      </c>
      <c r="G47" s="748">
        <f>SUM(F47:F48)</f>
        <v>8.1155519999999995E-2</v>
      </c>
      <c r="H47" s="748"/>
      <c r="I47" s="748"/>
      <c r="J47" s="47" t="s">
        <v>46</v>
      </c>
      <c r="K47" s="49"/>
    </row>
    <row r="48" spans="1:15" ht="12" customHeight="1">
      <c r="A48" s="42" t="s">
        <v>230</v>
      </c>
      <c r="B48" s="42" t="s">
        <v>215</v>
      </c>
      <c r="C48" s="54" t="s">
        <v>221</v>
      </c>
      <c r="D48" s="62">
        <v>145.44</v>
      </c>
      <c r="E48" s="45">
        <v>300</v>
      </c>
      <c r="F48" s="45">
        <f>D48*0.000279</f>
        <v>4.0577759999999997E-2</v>
      </c>
      <c r="G48" s="748"/>
      <c r="H48" s="748"/>
      <c r="I48" s="748"/>
      <c r="J48" s="47" t="s">
        <v>46</v>
      </c>
      <c r="K48" s="49"/>
    </row>
    <row r="49" spans="1:11" ht="15" customHeight="1">
      <c r="A49" s="63" t="s">
        <v>231</v>
      </c>
      <c r="B49" s="63" t="s">
        <v>47</v>
      </c>
      <c r="C49" s="64" t="s">
        <v>200</v>
      </c>
      <c r="D49" s="46">
        <f>707.78-D50</f>
        <v>672.82999999999993</v>
      </c>
      <c r="E49" s="41">
        <v>800</v>
      </c>
      <c r="F49" s="41">
        <f t="shared" ref="F49:F57" si="4">D49/E49</f>
        <v>0.84103749999999988</v>
      </c>
      <c r="G49" s="749">
        <f>F49+F50</f>
        <v>1.0157874999999998</v>
      </c>
      <c r="H49" s="749">
        <f>SUM(G49:G59)</f>
        <v>3.1418719133333335</v>
      </c>
      <c r="I49" s="749">
        <v>3</v>
      </c>
      <c r="J49" s="63" t="s">
        <v>50</v>
      </c>
      <c r="K49" s="49"/>
    </row>
    <row r="50" spans="1:11" ht="15" customHeight="1">
      <c r="A50" s="63" t="s">
        <v>231</v>
      </c>
      <c r="B50" s="63" t="s">
        <v>47</v>
      </c>
      <c r="C50" s="64" t="s">
        <v>201</v>
      </c>
      <c r="D50" s="46">
        <v>34.950000000000003</v>
      </c>
      <c r="E50" s="41">
        <v>200</v>
      </c>
      <c r="F50" s="41">
        <f t="shared" si="4"/>
        <v>0.17475000000000002</v>
      </c>
      <c r="G50" s="749"/>
      <c r="H50" s="749"/>
      <c r="I50" s="749"/>
      <c r="J50" s="63" t="s">
        <v>50</v>
      </c>
      <c r="K50" s="49"/>
    </row>
    <row r="51" spans="1:11" ht="12" customHeight="1">
      <c r="A51" s="63" t="s">
        <v>231</v>
      </c>
      <c r="B51" s="63" t="s">
        <v>48</v>
      </c>
      <c r="C51" s="64" t="s">
        <v>205</v>
      </c>
      <c r="D51" s="45">
        <v>290</v>
      </c>
      <c r="E51" s="41">
        <v>1800</v>
      </c>
      <c r="F51" s="41">
        <f t="shared" si="4"/>
        <v>0.16111111111111112</v>
      </c>
      <c r="G51" s="749">
        <f>SUM(F51:F57)</f>
        <v>2.0913433333333336</v>
      </c>
      <c r="H51" s="749"/>
      <c r="I51" s="749"/>
      <c r="J51" s="63" t="s">
        <v>50</v>
      </c>
      <c r="K51" s="49"/>
    </row>
    <row r="52" spans="1:11" ht="36" customHeight="1">
      <c r="A52" s="63" t="s">
        <v>231</v>
      </c>
      <c r="B52" s="63" t="s">
        <v>48</v>
      </c>
      <c r="C52" s="64" t="s">
        <v>206</v>
      </c>
      <c r="D52" s="52">
        <v>1933</v>
      </c>
      <c r="E52" s="70">
        <v>6000</v>
      </c>
      <c r="F52" s="41">
        <f t="shared" si="4"/>
        <v>0.32216666666666666</v>
      </c>
      <c r="G52" s="749"/>
      <c r="H52" s="749"/>
      <c r="I52" s="749"/>
      <c r="J52" s="63" t="s">
        <v>50</v>
      </c>
      <c r="K52" s="49"/>
    </row>
    <row r="53" spans="1:11" ht="24" customHeight="1">
      <c r="A53" s="63" t="s">
        <v>231</v>
      </c>
      <c r="B53" s="63" t="s">
        <v>48</v>
      </c>
      <c r="C53" s="64" t="s">
        <v>227</v>
      </c>
      <c r="D53" s="45">
        <v>357</v>
      </c>
      <c r="E53" s="41">
        <v>1800</v>
      </c>
      <c r="F53" s="41">
        <f t="shared" si="4"/>
        <v>0.19833333333333333</v>
      </c>
      <c r="G53" s="749"/>
      <c r="H53" s="749"/>
      <c r="I53" s="749"/>
      <c r="J53" s="63" t="s">
        <v>50</v>
      </c>
      <c r="K53" s="49"/>
    </row>
    <row r="54" spans="1:11" ht="24" customHeight="1">
      <c r="A54" s="63" t="s">
        <v>231</v>
      </c>
      <c r="B54" s="63" t="s">
        <v>48</v>
      </c>
      <c r="C54" s="64" t="s">
        <v>208</v>
      </c>
      <c r="D54" s="45">
        <v>930</v>
      </c>
      <c r="E54" s="41">
        <v>1800</v>
      </c>
      <c r="F54" s="41">
        <f t="shared" si="4"/>
        <v>0.51666666666666672</v>
      </c>
      <c r="G54" s="749"/>
      <c r="H54" s="749"/>
      <c r="I54" s="749"/>
      <c r="J54" s="63" t="s">
        <v>50</v>
      </c>
      <c r="K54" s="49"/>
    </row>
    <row r="55" spans="1:11" ht="12" customHeight="1">
      <c r="A55" s="63" t="s">
        <v>231</v>
      </c>
      <c r="B55" s="63" t="s">
        <v>48</v>
      </c>
      <c r="C55" s="64" t="s">
        <v>210</v>
      </c>
      <c r="D55" s="45">
        <v>464</v>
      </c>
      <c r="E55" s="41">
        <v>2700</v>
      </c>
      <c r="F55" s="41">
        <f t="shared" si="4"/>
        <v>0.17185185185185184</v>
      </c>
      <c r="G55" s="749"/>
      <c r="H55" s="749"/>
      <c r="I55" s="749"/>
      <c r="J55" s="63" t="s">
        <v>50</v>
      </c>
      <c r="K55" s="49"/>
    </row>
    <row r="56" spans="1:11" ht="12" customHeight="1">
      <c r="A56" s="63" t="s">
        <v>231</v>
      </c>
      <c r="B56" s="63" t="s">
        <v>48</v>
      </c>
      <c r="C56" s="64" t="s">
        <v>211</v>
      </c>
      <c r="D56" s="52">
        <v>1900</v>
      </c>
      <c r="E56" s="70">
        <v>2700</v>
      </c>
      <c r="F56" s="41">
        <f t="shared" si="4"/>
        <v>0.70370370370370372</v>
      </c>
      <c r="G56" s="749"/>
      <c r="H56" s="749"/>
      <c r="I56" s="749"/>
      <c r="J56" s="63" t="s">
        <v>50</v>
      </c>
      <c r="K56" s="49"/>
    </row>
    <row r="57" spans="1:11" ht="24" customHeight="1">
      <c r="A57" s="63" t="s">
        <v>231</v>
      </c>
      <c r="B57" s="63" t="s">
        <v>48</v>
      </c>
      <c r="C57" s="64" t="s">
        <v>232</v>
      </c>
      <c r="D57" s="52">
        <v>1751</v>
      </c>
      <c r="E57" s="70">
        <v>100000</v>
      </c>
      <c r="F57" s="41">
        <f t="shared" si="4"/>
        <v>1.7510000000000001E-2</v>
      </c>
      <c r="G57" s="749"/>
      <c r="H57" s="749"/>
      <c r="I57" s="749"/>
      <c r="J57" s="63" t="s">
        <v>50</v>
      </c>
      <c r="K57" s="49"/>
    </row>
    <row r="58" spans="1:11" ht="12" customHeight="1">
      <c r="A58" s="63" t="s">
        <v>231</v>
      </c>
      <c r="B58" s="63" t="s">
        <v>213</v>
      </c>
      <c r="C58" s="68" t="s">
        <v>220</v>
      </c>
      <c r="D58" s="84">
        <v>62.26</v>
      </c>
      <c r="E58" s="41">
        <v>300</v>
      </c>
      <c r="F58" s="41">
        <f>D58*0.000279</f>
        <v>1.737054E-2</v>
      </c>
      <c r="G58" s="749">
        <f>SUM(F58:F59)</f>
        <v>3.4741080000000001E-2</v>
      </c>
      <c r="H58" s="749"/>
      <c r="I58" s="749"/>
      <c r="J58" s="63" t="s">
        <v>50</v>
      </c>
      <c r="K58" s="49"/>
    </row>
    <row r="59" spans="1:11" ht="12" customHeight="1">
      <c r="A59" s="63" t="s">
        <v>231</v>
      </c>
      <c r="B59" s="63" t="s">
        <v>215</v>
      </c>
      <c r="C59" s="68" t="s">
        <v>221</v>
      </c>
      <c r="D59" s="84">
        <v>62.26</v>
      </c>
      <c r="E59" s="41">
        <v>300</v>
      </c>
      <c r="F59" s="41">
        <f>D59*0.000279</f>
        <v>1.737054E-2</v>
      </c>
      <c r="G59" s="749"/>
      <c r="H59" s="749"/>
      <c r="I59" s="749"/>
      <c r="J59" s="63" t="s">
        <v>50</v>
      </c>
      <c r="K59" s="49"/>
    </row>
    <row r="60" spans="1:11" ht="12" customHeight="1">
      <c r="A60" s="63" t="s">
        <v>233</v>
      </c>
      <c r="B60" s="63" t="s">
        <v>47</v>
      </c>
      <c r="C60" s="85" t="s">
        <v>200</v>
      </c>
      <c r="D60" s="46">
        <v>177</v>
      </c>
      <c r="E60" s="41">
        <v>800</v>
      </c>
      <c r="F60" s="45">
        <f t="shared" ref="F60:F66" si="5">D60/E60</f>
        <v>0.22125</v>
      </c>
      <c r="G60" s="749">
        <f>SUM(F60:F61)</f>
        <v>0.27658333333333335</v>
      </c>
      <c r="H60" s="749">
        <f>SUM(G60:G68)</f>
        <v>0.76116644444444437</v>
      </c>
      <c r="I60" s="749">
        <v>1</v>
      </c>
      <c r="J60" s="63" t="s">
        <v>50</v>
      </c>
      <c r="K60" s="49"/>
    </row>
    <row r="61" spans="1:11" ht="12" customHeight="1">
      <c r="A61" s="63" t="s">
        <v>233</v>
      </c>
      <c r="B61" s="63" t="s">
        <v>47</v>
      </c>
      <c r="C61" s="86" t="s">
        <v>217</v>
      </c>
      <c r="D61" s="87">
        <v>83</v>
      </c>
      <c r="E61" s="41">
        <v>1500</v>
      </c>
      <c r="F61" s="45">
        <f t="shared" si="5"/>
        <v>5.5333333333333332E-2</v>
      </c>
      <c r="G61" s="749"/>
      <c r="H61" s="749"/>
      <c r="I61" s="749"/>
      <c r="J61" s="63" t="s">
        <v>50</v>
      </c>
      <c r="K61" s="49"/>
    </row>
    <row r="62" spans="1:11" ht="12" customHeight="1">
      <c r="A62" s="63" t="s">
        <v>233</v>
      </c>
      <c r="B62" s="63" t="s">
        <v>48</v>
      </c>
      <c r="C62" s="64" t="s">
        <v>205</v>
      </c>
      <c r="D62" s="45">
        <v>42</v>
      </c>
      <c r="E62" s="41">
        <v>1800</v>
      </c>
      <c r="F62" s="45">
        <f t="shared" si="5"/>
        <v>2.3333333333333334E-2</v>
      </c>
      <c r="G62" s="749">
        <f>SUM(F62:F66)</f>
        <v>0.46561111111111109</v>
      </c>
      <c r="H62" s="749"/>
      <c r="I62" s="749"/>
      <c r="J62" s="63" t="s">
        <v>50</v>
      </c>
      <c r="K62" s="49"/>
    </row>
    <row r="63" spans="1:11" ht="36" customHeight="1">
      <c r="A63" s="63" t="s">
        <v>233</v>
      </c>
      <c r="B63" s="63" t="s">
        <v>48</v>
      </c>
      <c r="C63" s="64" t="s">
        <v>206</v>
      </c>
      <c r="D63" s="52">
        <v>317</v>
      </c>
      <c r="E63" s="70">
        <v>6000</v>
      </c>
      <c r="F63" s="45">
        <f t="shared" si="5"/>
        <v>5.2833333333333336E-2</v>
      </c>
      <c r="G63" s="749"/>
      <c r="H63" s="749"/>
      <c r="I63" s="749"/>
      <c r="J63" s="63" t="s">
        <v>50</v>
      </c>
      <c r="K63" s="49"/>
    </row>
    <row r="64" spans="1:11" ht="24" customHeight="1">
      <c r="A64" s="63" t="s">
        <v>233</v>
      </c>
      <c r="B64" s="63" t="s">
        <v>48</v>
      </c>
      <c r="C64" s="64" t="s">
        <v>227</v>
      </c>
      <c r="D64" s="45">
        <v>360</v>
      </c>
      <c r="E64" s="41">
        <v>1800</v>
      </c>
      <c r="F64" s="45">
        <f t="shared" si="5"/>
        <v>0.2</v>
      </c>
      <c r="G64" s="749"/>
      <c r="H64" s="749"/>
      <c r="I64" s="749"/>
      <c r="J64" s="63" t="s">
        <v>50</v>
      </c>
      <c r="K64" s="49"/>
    </row>
    <row r="65" spans="1:15" ht="24" customHeight="1">
      <c r="A65" s="63" t="s">
        <v>233</v>
      </c>
      <c r="B65" s="63" t="s">
        <v>48</v>
      </c>
      <c r="C65" s="64" t="s">
        <v>208</v>
      </c>
      <c r="D65" s="45">
        <v>225</v>
      </c>
      <c r="E65" s="41">
        <v>1800</v>
      </c>
      <c r="F65" s="45">
        <f t="shared" si="5"/>
        <v>0.125</v>
      </c>
      <c r="G65" s="749"/>
      <c r="H65" s="749"/>
      <c r="I65" s="749"/>
      <c r="J65" s="63" t="s">
        <v>50</v>
      </c>
      <c r="K65" s="49"/>
    </row>
    <row r="66" spans="1:15" ht="12" customHeight="1">
      <c r="A66" s="63" t="s">
        <v>233</v>
      </c>
      <c r="B66" s="63" t="s">
        <v>48</v>
      </c>
      <c r="C66" s="64" t="s">
        <v>210</v>
      </c>
      <c r="D66" s="45">
        <v>174</v>
      </c>
      <c r="E66" s="41">
        <v>2700</v>
      </c>
      <c r="F66" s="45">
        <f t="shared" si="5"/>
        <v>6.4444444444444443E-2</v>
      </c>
      <c r="G66" s="749"/>
      <c r="H66" s="749"/>
      <c r="I66" s="749"/>
      <c r="J66" s="63" t="s">
        <v>50</v>
      </c>
      <c r="K66" s="49"/>
    </row>
    <row r="67" spans="1:15" ht="12" customHeight="1">
      <c r="A67" s="63" t="s">
        <v>233</v>
      </c>
      <c r="B67" s="63" t="s">
        <v>213</v>
      </c>
      <c r="C67" s="68" t="s">
        <v>220</v>
      </c>
      <c r="D67" s="84">
        <v>34</v>
      </c>
      <c r="E67" s="41">
        <v>300</v>
      </c>
      <c r="F67" s="45">
        <f>D67*0.000279</f>
        <v>9.4859999999999996E-3</v>
      </c>
      <c r="G67" s="749">
        <f>SUM(F67:F68)</f>
        <v>1.8971999999999999E-2</v>
      </c>
      <c r="H67" s="749"/>
      <c r="I67" s="749"/>
      <c r="J67" s="63" t="s">
        <v>50</v>
      </c>
      <c r="K67" s="49"/>
    </row>
    <row r="68" spans="1:15" ht="12" customHeight="1">
      <c r="A68" s="63" t="s">
        <v>233</v>
      </c>
      <c r="B68" s="63" t="s">
        <v>215</v>
      </c>
      <c r="C68" s="68" t="s">
        <v>221</v>
      </c>
      <c r="D68" s="84">
        <v>34</v>
      </c>
      <c r="E68" s="41">
        <v>300</v>
      </c>
      <c r="F68" s="45">
        <f>D68*0.000279</f>
        <v>9.4859999999999996E-3</v>
      </c>
      <c r="G68" s="749"/>
      <c r="H68" s="749"/>
      <c r="I68" s="749"/>
      <c r="J68" s="63" t="s">
        <v>50</v>
      </c>
      <c r="K68" s="49"/>
    </row>
    <row r="69" spans="1:15" ht="12" customHeight="1">
      <c r="A69" s="42" t="s">
        <v>234</v>
      </c>
      <c r="B69" s="42" t="s">
        <v>47</v>
      </c>
      <c r="C69" s="43" t="s">
        <v>200</v>
      </c>
      <c r="D69" s="46">
        <f>281-D70</f>
        <v>274.93</v>
      </c>
      <c r="E69" s="45">
        <v>800</v>
      </c>
      <c r="F69" s="45">
        <f>D69/E69</f>
        <v>0.34366249999999998</v>
      </c>
      <c r="G69" s="45">
        <f>F69</f>
        <v>0.34366249999999998</v>
      </c>
      <c r="H69" s="748">
        <f>SUM(G69:G73)</f>
        <v>0.51072609999999996</v>
      </c>
      <c r="I69" s="748">
        <v>1</v>
      </c>
      <c r="J69" s="47" t="s">
        <v>50</v>
      </c>
      <c r="K69" s="49"/>
      <c r="O69" s="40" t="s">
        <v>235</v>
      </c>
    </row>
    <row r="70" spans="1:15" ht="12" customHeight="1">
      <c r="A70" s="42" t="s">
        <v>234</v>
      </c>
      <c r="B70" s="42" t="s">
        <v>47</v>
      </c>
      <c r="C70" s="43" t="s">
        <v>201</v>
      </c>
      <c r="D70" s="46">
        <v>6.07</v>
      </c>
      <c r="E70" s="45">
        <v>200</v>
      </c>
      <c r="F70" s="45">
        <f>D70/E70</f>
        <v>3.0350000000000002E-2</v>
      </c>
      <c r="G70" s="45">
        <f>F70</f>
        <v>3.0350000000000002E-2</v>
      </c>
      <c r="H70" s="748"/>
      <c r="I70" s="748"/>
      <c r="J70" s="47" t="s">
        <v>50</v>
      </c>
      <c r="K70" s="49"/>
    </row>
    <row r="71" spans="1:15" ht="12" customHeight="1">
      <c r="A71" s="42" t="s">
        <v>234</v>
      </c>
      <c r="B71" s="42" t="s">
        <v>48</v>
      </c>
      <c r="C71" s="43" t="s">
        <v>236</v>
      </c>
      <c r="D71" s="45">
        <v>756</v>
      </c>
      <c r="E71" s="52">
        <v>6000</v>
      </c>
      <c r="F71" s="45">
        <f>D71/E71</f>
        <v>0.126</v>
      </c>
      <c r="G71" s="88">
        <f>F71</f>
        <v>0.126</v>
      </c>
      <c r="H71" s="748"/>
      <c r="I71" s="748"/>
      <c r="J71" s="47" t="s">
        <v>50</v>
      </c>
      <c r="K71" s="49"/>
    </row>
    <row r="72" spans="1:15" ht="12" customHeight="1">
      <c r="A72" s="42" t="s">
        <v>234</v>
      </c>
      <c r="B72" s="42" t="s">
        <v>213</v>
      </c>
      <c r="C72" s="54" t="s">
        <v>220</v>
      </c>
      <c r="D72" s="62">
        <v>19.2</v>
      </c>
      <c r="E72" s="45">
        <v>300</v>
      </c>
      <c r="F72" s="45">
        <f>D72*0.000279</f>
        <v>5.3568000000000001E-3</v>
      </c>
      <c r="G72" s="748">
        <f>SUM(F72:F73)</f>
        <v>1.07136E-2</v>
      </c>
      <c r="H72" s="748"/>
      <c r="I72" s="748"/>
      <c r="J72" s="47" t="s">
        <v>50</v>
      </c>
      <c r="K72" s="49"/>
    </row>
    <row r="73" spans="1:15" ht="12" customHeight="1">
      <c r="A73" s="42" t="s">
        <v>234</v>
      </c>
      <c r="B73" s="42" t="s">
        <v>215</v>
      </c>
      <c r="C73" s="54" t="s">
        <v>221</v>
      </c>
      <c r="D73" s="62">
        <v>19.2</v>
      </c>
      <c r="E73" s="45">
        <v>300</v>
      </c>
      <c r="F73" s="45">
        <f>D73*0.000279</f>
        <v>5.3568000000000001E-3</v>
      </c>
      <c r="G73" s="748"/>
      <c r="H73" s="748"/>
      <c r="I73" s="748"/>
      <c r="J73" s="47" t="s">
        <v>50</v>
      </c>
      <c r="K73" s="49"/>
    </row>
    <row r="74" spans="1:15" ht="12" customHeight="1">
      <c r="A74" s="63" t="s">
        <v>237</v>
      </c>
      <c r="B74" s="63" t="s">
        <v>47</v>
      </c>
      <c r="C74" s="64" t="s">
        <v>200</v>
      </c>
      <c r="D74" s="46">
        <v>414</v>
      </c>
      <c r="E74" s="41">
        <v>800</v>
      </c>
      <c r="F74" s="45">
        <f>D74/E74</f>
        <v>0.51749999999999996</v>
      </c>
      <c r="G74" s="41">
        <f>F74</f>
        <v>0.51749999999999996</v>
      </c>
      <c r="H74" s="749">
        <f>SUM(G74:G75)</f>
        <v>0.54444666666666663</v>
      </c>
      <c r="I74" s="749">
        <v>1</v>
      </c>
      <c r="J74" s="63" t="s">
        <v>50</v>
      </c>
      <c r="K74" s="49"/>
    </row>
    <row r="75" spans="1:15" ht="36" customHeight="1">
      <c r="A75" s="63" t="s">
        <v>237</v>
      </c>
      <c r="B75" s="63" t="s">
        <v>48</v>
      </c>
      <c r="C75" s="64" t="s">
        <v>236</v>
      </c>
      <c r="D75" s="45">
        <v>161.68</v>
      </c>
      <c r="E75" s="70">
        <v>6000</v>
      </c>
      <c r="F75" s="45">
        <f>D75/E75</f>
        <v>2.6946666666666667E-2</v>
      </c>
      <c r="G75" s="89">
        <f>F75</f>
        <v>2.6946666666666667E-2</v>
      </c>
      <c r="H75" s="749"/>
      <c r="I75" s="749"/>
      <c r="J75" s="63" t="s">
        <v>50</v>
      </c>
      <c r="K75" s="49"/>
    </row>
    <row r="76" spans="1:15" ht="12" customHeight="1">
      <c r="A76" s="63" t="s">
        <v>238</v>
      </c>
      <c r="B76" s="63" t="s">
        <v>47</v>
      </c>
      <c r="C76" s="64" t="s">
        <v>200</v>
      </c>
      <c r="D76" s="46">
        <v>134</v>
      </c>
      <c r="E76" s="41">
        <v>800</v>
      </c>
      <c r="F76" s="45">
        <f>D76/E76</f>
        <v>0.16750000000000001</v>
      </c>
      <c r="G76" s="41">
        <f>F76</f>
        <v>0.16750000000000001</v>
      </c>
      <c r="H76" s="749">
        <f>SUM(G76:G77)</f>
        <v>0.24916666666666668</v>
      </c>
      <c r="I76" s="749">
        <v>1</v>
      </c>
      <c r="J76" s="63" t="s">
        <v>50</v>
      </c>
      <c r="K76" s="49"/>
    </row>
    <row r="77" spans="1:15" ht="36" customHeight="1">
      <c r="A77" s="63" t="s">
        <v>238</v>
      </c>
      <c r="B77" s="63" t="s">
        <v>48</v>
      </c>
      <c r="C77" s="64" t="s">
        <v>236</v>
      </c>
      <c r="D77" s="45">
        <v>490</v>
      </c>
      <c r="E77" s="70">
        <v>6000</v>
      </c>
      <c r="F77" s="45">
        <f>D77/E77</f>
        <v>8.1666666666666665E-2</v>
      </c>
      <c r="G77" s="89">
        <f>F77</f>
        <v>8.1666666666666665E-2</v>
      </c>
      <c r="H77" s="749"/>
      <c r="I77" s="749"/>
      <c r="J77" s="63" t="s">
        <v>50</v>
      </c>
      <c r="K77" s="49"/>
    </row>
    <row r="78" spans="1:15" ht="12.75" customHeight="1">
      <c r="A78" s="747" t="s">
        <v>239</v>
      </c>
      <c r="B78" s="747"/>
      <c r="C78" s="747"/>
      <c r="D78" s="90">
        <f>SUBTOTAL(9,D2:D77)</f>
        <v>46042.430000000015</v>
      </c>
      <c r="E78" s="62"/>
      <c r="F78" s="62"/>
      <c r="G78" s="62"/>
      <c r="H78" s="62">
        <f>SUM(H2:H77)</f>
        <v>21.084281632592592</v>
      </c>
      <c r="I78" s="62">
        <f>SUM(I2:I77)</f>
        <v>24</v>
      </c>
      <c r="J78" s="91"/>
      <c r="K78" s="49"/>
      <c r="L78" s="40">
        <f>3</f>
        <v>3</v>
      </c>
    </row>
  </sheetData>
  <mergeCells count="45">
    <mergeCell ref="M23:N23"/>
    <mergeCell ref="G2:G6"/>
    <mergeCell ref="H2:H15"/>
    <mergeCell ref="I2:I15"/>
    <mergeCell ref="G7:G13"/>
    <mergeCell ref="M12:N12"/>
    <mergeCell ref="G14:G15"/>
    <mergeCell ref="G16:G17"/>
    <mergeCell ref="H16:H23"/>
    <mergeCell ref="I16:I23"/>
    <mergeCell ref="G19:G21"/>
    <mergeCell ref="G22:G23"/>
    <mergeCell ref="G24:G27"/>
    <mergeCell ref="H24:H32"/>
    <mergeCell ref="I24:I32"/>
    <mergeCell ref="M26:P26"/>
    <mergeCell ref="G28:G30"/>
    <mergeCell ref="M28:P30"/>
    <mergeCell ref="G31:G32"/>
    <mergeCell ref="H33:H36"/>
    <mergeCell ref="I33:I36"/>
    <mergeCell ref="G35:G36"/>
    <mergeCell ref="G37:G40"/>
    <mergeCell ref="H37:H48"/>
    <mergeCell ref="I37:I48"/>
    <mergeCell ref="G41:G46"/>
    <mergeCell ref="G47:G48"/>
    <mergeCell ref="G60:G61"/>
    <mergeCell ref="H60:H68"/>
    <mergeCell ref="I60:I68"/>
    <mergeCell ref="G62:G66"/>
    <mergeCell ref="G67:G68"/>
    <mergeCell ref="G49:G50"/>
    <mergeCell ref="H49:H59"/>
    <mergeCell ref="I49:I59"/>
    <mergeCell ref="G51:G57"/>
    <mergeCell ref="G58:G59"/>
    <mergeCell ref="A78:C78"/>
    <mergeCell ref="H69:H73"/>
    <mergeCell ref="I69:I73"/>
    <mergeCell ref="G72:G73"/>
    <mergeCell ref="H74:H75"/>
    <mergeCell ref="I74:I75"/>
    <mergeCell ref="H76:H77"/>
    <mergeCell ref="I76:I77"/>
  </mergeCells>
  <pageMargins left="0.511811023622047" right="0.511811023622047" top="0.78740157480314898" bottom="0.78740157480314898" header="0.511811023622047" footer="0.51181102362204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04202E6F971334BBF47AD1503525C23" ma:contentTypeVersion="8" ma:contentTypeDescription="Crie um novo documento." ma:contentTypeScope="" ma:versionID="9f69944da8fab702031d31604db96467">
  <xsd:schema xmlns:xsd="http://www.w3.org/2001/XMLSchema" xmlns:xs="http://www.w3.org/2001/XMLSchema" xmlns:p="http://schemas.microsoft.com/office/2006/metadata/properties" xmlns:ns2="a1938f9f-00fd-4c15-9027-32f627fd24fa" xmlns:ns3="6e17b949-10b3-4960-9710-e9b5e5db56d1" targetNamespace="http://schemas.microsoft.com/office/2006/metadata/properties" ma:root="true" ma:fieldsID="fccfd231aece34488dfebd52ff36982d" ns2:_="" ns3:_="">
    <xsd:import namespace="a1938f9f-00fd-4c15-9027-32f627fd24fa"/>
    <xsd:import namespace="6e17b949-10b3-4960-9710-e9b5e5db56d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938f9f-00fd-4c15-9027-32f627fd24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e17b949-10b3-4960-9710-e9b5e5db56d1"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DA9C33-F4CA-432F-B665-05BD24AE3F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938f9f-00fd-4c15-9027-32f627fd24fa"/>
    <ds:schemaRef ds:uri="6e17b949-10b3-4960-9710-e9b5e5db5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78B2D8-852A-41C2-B0D8-36CF071307A5}">
  <ds:schemaRefs>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purl.org/dc/dcmitype/"/>
    <ds:schemaRef ds:uri="http://www.w3.org/XML/1998/namespace"/>
    <ds:schemaRef ds:uri="6e17b949-10b3-4960-9710-e9b5e5db56d1"/>
    <ds:schemaRef ds:uri="http://schemas.microsoft.com/office/infopath/2007/PartnerControls"/>
    <ds:schemaRef ds:uri="a1938f9f-00fd-4c15-9027-32f627fd24fa"/>
    <ds:schemaRef ds:uri="http://purl.org/dc/terms/"/>
  </ds:schemaRefs>
</ds:datastoreItem>
</file>

<file path=customXml/itemProps3.xml><?xml version="1.0" encoding="utf-8"?>
<ds:datastoreItem xmlns:ds="http://schemas.openxmlformats.org/officeDocument/2006/customXml" ds:itemID="{7925C19F-784F-4008-AB31-30129217A6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4</vt:i4>
      </vt:variant>
    </vt:vector>
  </HeadingPairs>
  <TitlesOfParts>
    <vt:vector size="17" baseType="lpstr">
      <vt:lpstr>Instruções_de_preenchimento</vt:lpstr>
      <vt:lpstr>Dados da empresa</vt:lpstr>
      <vt:lpstr>Instruções de preenchimento</vt:lpstr>
      <vt:lpstr>PROPOSTA GLOBAL</vt:lpstr>
      <vt:lpstr>Postos PVH 12X36 e 44hs</vt:lpstr>
      <vt:lpstr>Postos JPN 12X36</vt:lpstr>
      <vt:lpstr>Postos GMI-VLA-PBO 12X36</vt:lpstr>
      <vt:lpstr>Uniformes</vt:lpstr>
      <vt:lpstr>área</vt:lpstr>
      <vt:lpstr>Uniforme </vt:lpstr>
      <vt:lpstr>EPIs e materiais</vt:lpstr>
      <vt:lpstr>Equip_limpeza</vt:lpstr>
      <vt:lpstr>Equip_lavador</vt:lpstr>
      <vt:lpstr>'Dados da empresa'!Area_de_impressao</vt:lpstr>
      <vt:lpstr>Equip_limpeza!Area_de_impressao</vt:lpstr>
      <vt:lpstr>'Instruções de preenchimento'!Area_de_impressao</vt:lpstr>
      <vt:lpstr>'PROPOSTA GLOBAL'!Area_de_impressao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PAULO ALEXANDRE GARCIA DE SOUZA</dc:creator>
  <cp:keywords/>
  <dc:description/>
  <cp:lastModifiedBy>Laira Giacomett de Carvalho</cp:lastModifiedBy>
  <cp:revision>25</cp:revision>
  <cp:lastPrinted>2024-06-10T16:44:39Z</cp:lastPrinted>
  <dcterms:created xsi:type="dcterms:W3CDTF">2013-04-17T10:31:46Z</dcterms:created>
  <dcterms:modified xsi:type="dcterms:W3CDTF">2024-09-05T17:38:41Z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0x010100A04202E6F971334BBF47AD1503525C23</vt:lpwstr>
  </property>
</Properties>
</file>